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175" yWindow="690" windowWidth="12120" windowHeight="8055" tabRatio="815" activeTab="2"/>
  </bookViews>
  <sheets>
    <sheet name="แบบ ปร.6" sheetId="19" r:id="rId1"/>
    <sheet name="ใบสรุปแบบ ปร.5 (ก) " sheetId="2" r:id="rId2"/>
    <sheet name="ใบสรุปแบบ ปร.5 (ข)" sheetId="30" r:id="rId3"/>
    <sheet name="แบบ ปร.4_อาคาร " sheetId="43" r:id="rId4"/>
    <sheet name="ฟฟ." sheetId="44" r:id="rId5"/>
    <sheet name="ปป.ภายใน" sheetId="53" r:id="rId6"/>
    <sheet name="ถนน+ลาน+ภูมิทัศน์" sheetId="49" r:id="rId7"/>
    <sheet name="ฟฟ.ภนอ." sheetId="48" r:id="rId8"/>
    <sheet name="ปป.ภายนอก" sheetId="47" r:id="rId9"/>
    <sheet name="แบบ ปร.4(พ)" sheetId="41" state="hidden" r:id="rId10"/>
    <sheet name="แบบแสดงการคำนวณ ฯ(พ)ตามข้อกำหนด" sheetId="23" state="hidden" r:id="rId11"/>
    <sheet name="ครุภัณฑ์" sheetId="40" r:id="rId12"/>
    <sheet name="F_Advance(งานอาคาร)" sheetId="24" state="hidden" r:id="rId13"/>
    <sheet name="F_Advance(สะพาน)" sheetId="42" state="hidden" r:id="rId14"/>
    <sheet name="งวดงาน" sheetId="26" state="hidden" r:id="rId15"/>
  </sheets>
  <definedNames>
    <definedName name="BUDJET">'F_Advance(งานอาคาร)'!$A$5:$A$29</definedName>
    <definedName name="FBUILD">'F_Advance(งานอาคาร)'!$A$2:$Q$29</definedName>
    <definedName name="_xlnm.Print_Area" localSheetId="11">ครุภัณฑ์!$A$1:$J$43</definedName>
    <definedName name="_xlnm.Print_Area" localSheetId="6">'ถนน+ลาน+ภูมิทัศน์'!$A$1:$J$45</definedName>
    <definedName name="_xlnm.Print_Area" localSheetId="9">'แบบ ปร.4(พ)'!$A$1:$F$23</definedName>
    <definedName name="_xlnm.Print_Area" localSheetId="3">'แบบ ปร.4_อาคาร '!$A$1:$J$183</definedName>
    <definedName name="_xlnm.Print_Area" localSheetId="0">'แบบ ปร.6'!$A$1:$D$38</definedName>
    <definedName name="_xlnm.Print_Area" localSheetId="10">'แบบแสดงการคำนวณ ฯ(พ)ตามข้อกำหนด'!$A$1:$L$37</definedName>
    <definedName name="_xlnm.Print_Area" localSheetId="1">'ใบสรุปแบบ ปร.5 (ก) '!$A$1:$I$36</definedName>
    <definedName name="_xlnm.Print_Area" localSheetId="2">'ใบสรุปแบบ ปร.5 (ข)'!$A$1:$I$37</definedName>
    <definedName name="_xlnm.Print_Area" localSheetId="8">ปป.ภายนอก!$A$1:$J$64</definedName>
    <definedName name="_xlnm.Print_Area" localSheetId="5">ปป.ภายใน!$A$1:$J$121</definedName>
    <definedName name="_xlnm.Print_Area" localSheetId="4">ฟฟ.!$A$1:$J$74</definedName>
    <definedName name="_xlnm.Print_Area" localSheetId="7">ฟฟ.ภนอ.!$A$1:$J$28</definedName>
    <definedName name="_xlnm.Print_Titles" localSheetId="11">ครุภัณฑ์!$1:$7</definedName>
    <definedName name="_xlnm.Print_Titles" localSheetId="6">'ถนน+ลาน+ภูมิทัศน์'!$1:$7</definedName>
    <definedName name="_xlnm.Print_Titles" localSheetId="9">'แบบ ปร.4(พ)'!$1:$8</definedName>
    <definedName name="_xlnm.Print_Titles" localSheetId="3">'แบบ ปร.4_อาคาร '!$1:$7</definedName>
    <definedName name="_xlnm.Print_Titles" localSheetId="8">ปป.ภายนอก!$1:$7</definedName>
    <definedName name="_xlnm.Print_Titles" localSheetId="5">ปป.ภายใน!$1:$7</definedName>
    <definedName name="_xlnm.Print_Titles" localSheetId="4">ฟฟ.!$1:$7</definedName>
    <definedName name="_xlnm.Print_Titles" localSheetId="7">ฟฟ.ภนอ.!$1:$7</definedName>
    <definedName name="RET_0">'F_Advance(งานอาคาร)'!$A$4:$E$29</definedName>
    <definedName name="RET_10">'F_Advance(งานอาคาร)'!$A$4:$A$29,'F_Advance(งานอาคาร)'!$J$4:$L$29</definedName>
    <definedName name="RET_5">'F_Advance(งานอาคาร)'!$A$4:$A$29,'F_Advance(งานอาคาร)'!$F$4:$I$29</definedName>
  </definedNames>
  <calcPr calcId="144525"/>
</workbook>
</file>

<file path=xl/calcChain.xml><?xml version="1.0" encoding="utf-8"?>
<calcChain xmlns="http://schemas.openxmlformats.org/spreadsheetml/2006/main">
  <c r="G3" i="44" l="1"/>
  <c r="G3" i="53" s="1"/>
  <c r="H42" i="40" l="1"/>
  <c r="F34" i="40"/>
  <c r="I34" i="40" s="1"/>
  <c r="F28" i="40"/>
  <c r="I28" i="40" s="1"/>
  <c r="I43" i="40" s="1"/>
  <c r="F10" i="30" s="1"/>
  <c r="H63" i="47"/>
  <c r="H56" i="47"/>
  <c r="F56" i="47"/>
  <c r="H55" i="47"/>
  <c r="I55" i="47" s="1"/>
  <c r="F54" i="47"/>
  <c r="I54" i="47" s="1"/>
  <c r="F50" i="47"/>
  <c r="I50" i="47" s="1"/>
  <c r="F49" i="47"/>
  <c r="I49" i="47" s="1"/>
  <c r="F48" i="47"/>
  <c r="H42" i="47"/>
  <c r="F42" i="47"/>
  <c r="H41" i="47"/>
  <c r="I41" i="47" s="1"/>
  <c r="K40" i="47"/>
  <c r="I40" i="47"/>
  <c r="F40" i="47"/>
  <c r="F39" i="47"/>
  <c r="I39" i="47" s="1"/>
  <c r="F38" i="47"/>
  <c r="I38" i="47" s="1"/>
  <c r="F37" i="47"/>
  <c r="I37" i="47" s="1"/>
  <c r="F36" i="47"/>
  <c r="I36" i="47" s="1"/>
  <c r="F35" i="47"/>
  <c r="I35" i="47" s="1"/>
  <c r="F34" i="47"/>
  <c r="I34" i="47" s="1"/>
  <c r="F33" i="47"/>
  <c r="I33" i="47" s="1"/>
  <c r="I32" i="47"/>
  <c r="F32" i="47"/>
  <c r="F31" i="47"/>
  <c r="I31" i="47" s="1"/>
  <c r="H30" i="47"/>
  <c r="I30" i="47" s="1"/>
  <c r="F30" i="47"/>
  <c r="H29" i="47"/>
  <c r="F29" i="47"/>
  <c r="F19" i="47"/>
  <c r="I19" i="47" s="1"/>
  <c r="H16" i="47"/>
  <c r="I16" i="47" s="1"/>
  <c r="F16" i="47"/>
  <c r="I15" i="47"/>
  <c r="H15" i="47"/>
  <c r="F15" i="47"/>
  <c r="F14" i="47"/>
  <c r="I14" i="47" s="1"/>
  <c r="H13" i="47"/>
  <c r="I13" i="47" s="1"/>
  <c r="F13" i="47"/>
  <c r="H11" i="47"/>
  <c r="I11" i="47" s="1"/>
  <c r="F11" i="47"/>
  <c r="K15" i="47" s="1"/>
  <c r="H10" i="47"/>
  <c r="I10" i="47" s="1"/>
  <c r="F10" i="47"/>
  <c r="K116" i="53"/>
  <c r="I115" i="53"/>
  <c r="H115" i="53"/>
  <c r="F115" i="53"/>
  <c r="H114" i="53"/>
  <c r="I114" i="53" s="1"/>
  <c r="H113" i="53"/>
  <c r="F113" i="53"/>
  <c r="I113" i="53" s="1"/>
  <c r="H112" i="53"/>
  <c r="F112" i="53"/>
  <c r="I112" i="53" s="1"/>
  <c r="H111" i="53"/>
  <c r="F111" i="53"/>
  <c r="K111" i="53" s="1"/>
  <c r="H110" i="53"/>
  <c r="H120" i="53" s="1"/>
  <c r="F110" i="53"/>
  <c r="F107" i="53"/>
  <c r="I107" i="53" s="1"/>
  <c r="F105" i="53"/>
  <c r="F98" i="53"/>
  <c r="I98" i="53" s="1"/>
  <c r="F97" i="53"/>
  <c r="I97" i="53" s="1"/>
  <c r="F95" i="53"/>
  <c r="I95" i="53" s="1"/>
  <c r="I94" i="53"/>
  <c r="F94" i="53"/>
  <c r="F92" i="53"/>
  <c r="I92" i="53" s="1"/>
  <c r="F91" i="53"/>
  <c r="I91" i="53" s="1"/>
  <c r="H89" i="53"/>
  <c r="I89" i="53" s="1"/>
  <c r="F89" i="53"/>
  <c r="H88" i="53"/>
  <c r="H101" i="53" s="1"/>
  <c r="F88" i="53"/>
  <c r="H87" i="53"/>
  <c r="F87" i="53"/>
  <c r="I80" i="53"/>
  <c r="F80" i="53"/>
  <c r="I105" i="53" s="1"/>
  <c r="F79" i="53"/>
  <c r="I79" i="53" s="1"/>
  <c r="I77" i="53"/>
  <c r="H77" i="53"/>
  <c r="F77" i="53"/>
  <c r="F75" i="53"/>
  <c r="I75" i="53" s="1"/>
  <c r="I74" i="53"/>
  <c r="F74" i="53"/>
  <c r="F73" i="53"/>
  <c r="I73" i="53" s="1"/>
  <c r="H71" i="53"/>
  <c r="F71" i="53"/>
  <c r="I71" i="53" s="1"/>
  <c r="H70" i="53"/>
  <c r="I70" i="53" s="1"/>
  <c r="F70" i="53"/>
  <c r="I69" i="53"/>
  <c r="H69" i="53"/>
  <c r="F69" i="53"/>
  <c r="H68" i="53"/>
  <c r="H82" i="53" s="1"/>
  <c r="F68" i="53"/>
  <c r="K71" i="53" s="1"/>
  <c r="H59" i="53"/>
  <c r="I59" i="53" s="1"/>
  <c r="F59" i="53"/>
  <c r="I57" i="53"/>
  <c r="F57" i="53"/>
  <c r="F56" i="53"/>
  <c r="I56" i="53" s="1"/>
  <c r="I55" i="53"/>
  <c r="F55" i="53"/>
  <c r="H54" i="53"/>
  <c r="F54" i="53"/>
  <c r="I54" i="53" s="1"/>
  <c r="I53" i="53"/>
  <c r="H53" i="53"/>
  <c r="F53" i="53"/>
  <c r="H52" i="53"/>
  <c r="I52" i="53" s="1"/>
  <c r="F52" i="53"/>
  <c r="H51" i="53"/>
  <c r="F51" i="53"/>
  <c r="I50" i="53"/>
  <c r="H50" i="53"/>
  <c r="F50" i="53"/>
  <c r="F48" i="53"/>
  <c r="F63" i="53" s="1"/>
  <c r="I42" i="53"/>
  <c r="H42" i="53"/>
  <c r="F42" i="53"/>
  <c r="H41" i="53"/>
  <c r="F41" i="53"/>
  <c r="I39" i="53"/>
  <c r="F39" i="53"/>
  <c r="F37" i="53"/>
  <c r="I37" i="53" s="1"/>
  <c r="F35" i="53"/>
  <c r="I35" i="53" s="1"/>
  <c r="F34" i="53"/>
  <c r="I34" i="53" s="1"/>
  <c r="H33" i="53"/>
  <c r="F33" i="53"/>
  <c r="H32" i="53"/>
  <c r="I32" i="53" s="1"/>
  <c r="F32" i="53"/>
  <c r="H31" i="53"/>
  <c r="I31" i="53" s="1"/>
  <c r="F31" i="53"/>
  <c r="H30" i="53"/>
  <c r="F30" i="53"/>
  <c r="H22" i="53"/>
  <c r="F22" i="53"/>
  <c r="I22" i="53" s="1"/>
  <c r="H20" i="53"/>
  <c r="I20" i="53" s="1"/>
  <c r="F20" i="53"/>
  <c r="H18" i="53"/>
  <c r="F18" i="53"/>
  <c r="H17" i="53"/>
  <c r="F17" i="53"/>
  <c r="H16" i="53"/>
  <c r="I16" i="53" s="1"/>
  <c r="F16" i="53"/>
  <c r="H15" i="53"/>
  <c r="F15" i="53"/>
  <c r="I15" i="53" s="1"/>
  <c r="I13" i="53"/>
  <c r="H13" i="53"/>
  <c r="F13" i="53"/>
  <c r="H12" i="53"/>
  <c r="I12" i="53" s="1"/>
  <c r="F12" i="53"/>
  <c r="H11" i="53"/>
  <c r="F11" i="53"/>
  <c r="H10" i="53"/>
  <c r="F10" i="53"/>
  <c r="I41" i="53" l="1"/>
  <c r="F101" i="53"/>
  <c r="K101" i="53" s="1"/>
  <c r="F44" i="47"/>
  <c r="F25" i="53"/>
  <c r="I18" i="53"/>
  <c r="H44" i="53"/>
  <c r="K44" i="53" s="1"/>
  <c r="L50" i="53"/>
  <c r="I42" i="47"/>
  <c r="I56" i="47"/>
  <c r="I110" i="53"/>
  <c r="I11" i="53"/>
  <c r="I17" i="53"/>
  <c r="F44" i="53"/>
  <c r="I33" i="53"/>
  <c r="I51" i="53"/>
  <c r="I29" i="47"/>
  <c r="I64" i="47"/>
  <c r="F120" i="53"/>
  <c r="K120" i="53" s="1"/>
  <c r="F25" i="47"/>
  <c r="I26" i="47"/>
  <c r="F63" i="47"/>
  <c r="K63" i="47" s="1"/>
  <c r="F42" i="40"/>
  <c r="K42" i="40" s="1"/>
  <c r="I45" i="47"/>
  <c r="K16" i="47"/>
  <c r="L16" i="47" s="1"/>
  <c r="K17" i="47"/>
  <c r="L17" i="47" s="1"/>
  <c r="H25" i="47"/>
  <c r="K25" i="47" s="1"/>
  <c r="I48" i="47"/>
  <c r="H44" i="47"/>
  <c r="K44" i="47" s="1"/>
  <c r="H25" i="53"/>
  <c r="K25" i="53" s="1"/>
  <c r="I30" i="53"/>
  <c r="I45" i="53" s="1"/>
  <c r="I48" i="53"/>
  <c r="H63" i="53"/>
  <c r="K63" i="53" s="1"/>
  <c r="I68" i="53"/>
  <c r="I83" i="53" s="1"/>
  <c r="F82" i="53"/>
  <c r="K82" i="53" s="1"/>
  <c r="I88" i="53"/>
  <c r="K89" i="53"/>
  <c r="K112" i="53" s="1"/>
  <c r="I10" i="53"/>
  <c r="I26" i="53" s="1"/>
  <c r="K16" i="53"/>
  <c r="I87" i="53"/>
  <c r="I102" i="53" s="1"/>
  <c r="I111" i="53"/>
  <c r="I121" i="53" l="1"/>
  <c r="K64" i="47"/>
  <c r="F14" i="2" s="1"/>
  <c r="K114" i="53"/>
  <c r="L114" i="53" s="1"/>
  <c r="K113" i="53"/>
  <c r="L113" i="53" s="1"/>
  <c r="K18" i="53"/>
  <c r="L18" i="53" s="1"/>
  <c r="K17" i="53"/>
  <c r="L17" i="53" s="1"/>
  <c r="I64" i="53"/>
  <c r="K121" i="53" s="1"/>
  <c r="F11" i="2" s="1"/>
  <c r="K50" i="53"/>
  <c r="F17" i="48" l="1"/>
  <c r="I17" i="48" s="1"/>
  <c r="F14" i="48"/>
  <c r="I14" i="48" s="1"/>
  <c r="F13" i="48"/>
  <c r="I13" i="48" s="1"/>
  <c r="F12" i="48"/>
  <c r="I12" i="48" s="1"/>
  <c r="H22" i="48" l="1"/>
  <c r="I22" i="48" s="1"/>
  <c r="F21" i="48"/>
  <c r="I21" i="48" s="1"/>
  <c r="F20" i="48"/>
  <c r="I20" i="48" s="1"/>
  <c r="F19" i="48"/>
  <c r="I19" i="48" s="1"/>
  <c r="F18" i="48"/>
  <c r="I18" i="48" s="1"/>
  <c r="F16" i="48"/>
  <c r="I16" i="48" s="1"/>
  <c r="F15" i="48"/>
  <c r="I15" i="48" s="1"/>
  <c r="F11" i="48"/>
  <c r="I11" i="48" s="1"/>
  <c r="F10" i="48"/>
  <c r="I10" i="48" s="1"/>
  <c r="F9" i="48"/>
  <c r="I9" i="48" s="1"/>
  <c r="F61" i="44"/>
  <c r="I61" i="44" s="1"/>
  <c r="H60" i="44"/>
  <c r="F60" i="44"/>
  <c r="H59" i="44"/>
  <c r="F59" i="44"/>
  <c r="I59" i="44" s="1"/>
  <c r="H58" i="44"/>
  <c r="F58" i="44"/>
  <c r="F57" i="44"/>
  <c r="I57" i="44" s="1"/>
  <c r="F56" i="44"/>
  <c r="I56" i="44" s="1"/>
  <c r="F55" i="44"/>
  <c r="I55" i="44" s="1"/>
  <c r="H54" i="44"/>
  <c r="F54" i="44"/>
  <c r="N40" i="44"/>
  <c r="F40" i="44"/>
  <c r="I40" i="44" s="1"/>
  <c r="H39" i="44"/>
  <c r="F39" i="44"/>
  <c r="H38" i="44"/>
  <c r="F38" i="44"/>
  <c r="H37" i="44"/>
  <c r="F37" i="44"/>
  <c r="I37" i="44" s="1"/>
  <c r="H36" i="44"/>
  <c r="F36" i="44"/>
  <c r="H35" i="44"/>
  <c r="F35" i="44"/>
  <c r="H34" i="44"/>
  <c r="F34" i="44"/>
  <c r="H33" i="44"/>
  <c r="F33" i="44"/>
  <c r="H32" i="44"/>
  <c r="F32" i="44"/>
  <c r="H26" i="44"/>
  <c r="F26" i="44"/>
  <c r="H25" i="44"/>
  <c r="F25" i="44"/>
  <c r="F24" i="44"/>
  <c r="I24" i="44" s="1"/>
  <c r="F23" i="44"/>
  <c r="I23" i="44" s="1"/>
  <c r="F22" i="44"/>
  <c r="I22" i="44" s="1"/>
  <c r="H21" i="44"/>
  <c r="F21" i="44"/>
  <c r="H18" i="44"/>
  <c r="F18" i="44"/>
  <c r="H17" i="44"/>
  <c r="F17" i="44"/>
  <c r="H15" i="44"/>
  <c r="F15" i="44"/>
  <c r="H14" i="44"/>
  <c r="F14" i="44"/>
  <c r="H13" i="44"/>
  <c r="F13" i="44"/>
  <c r="I13" i="44" s="1"/>
  <c r="H11" i="44"/>
  <c r="F11" i="44"/>
  <c r="H9" i="44"/>
  <c r="F9" i="44"/>
  <c r="H29" i="44" l="1"/>
  <c r="I11" i="44"/>
  <c r="I58" i="44"/>
  <c r="F73" i="44"/>
  <c r="H27" i="48"/>
  <c r="I28" i="48"/>
  <c r="F13" i="2" s="1"/>
  <c r="F27" i="48"/>
  <c r="I35" i="44"/>
  <c r="I17" i="44"/>
  <c r="I21" i="44"/>
  <c r="I25" i="44"/>
  <c r="F51" i="44"/>
  <c r="I34" i="44"/>
  <c r="I36" i="44"/>
  <c r="I38" i="44"/>
  <c r="I15" i="44"/>
  <c r="H51" i="44"/>
  <c r="I9" i="44"/>
  <c r="H73" i="44"/>
  <c r="K73" i="44" s="1"/>
  <c r="I18" i="44"/>
  <c r="I32" i="44"/>
  <c r="F29" i="44"/>
  <c r="K29" i="44" s="1"/>
  <c r="M52" i="44" s="1"/>
  <c r="I14" i="44"/>
  <c r="I26" i="44"/>
  <c r="I33" i="44"/>
  <c r="I60" i="44"/>
  <c r="I39" i="44"/>
  <c r="K51" i="44"/>
  <c r="I54" i="44"/>
  <c r="I52" i="44" l="1"/>
  <c r="K27" i="48"/>
  <c r="I74" i="44"/>
  <c r="I30" i="44"/>
  <c r="M12" i="49"/>
  <c r="F11" i="49"/>
  <c r="I11" i="49" s="1"/>
  <c r="K12" i="49"/>
  <c r="L12" i="49" s="1"/>
  <c r="M74" i="44" l="1"/>
  <c r="K74" i="44"/>
  <c r="F10" i="2" s="1"/>
  <c r="F11" i="43"/>
  <c r="I11" i="43" s="1"/>
  <c r="H14" i="49" l="1"/>
  <c r="F14" i="49"/>
  <c r="H13" i="49"/>
  <c r="F13" i="49"/>
  <c r="I14" i="49" l="1"/>
  <c r="I13" i="49"/>
  <c r="F48" i="43"/>
  <c r="I48" i="43" s="1"/>
  <c r="K21" i="43"/>
  <c r="L21" i="43" s="1"/>
  <c r="K20" i="43"/>
  <c r="L20" i="43" s="1"/>
  <c r="H18" i="43"/>
  <c r="F18" i="43"/>
  <c r="I18" i="43" s="1"/>
  <c r="C38" i="43"/>
  <c r="C37" i="43"/>
  <c r="C35" i="43"/>
  <c r="C33" i="43"/>
  <c r="C32" i="43"/>
  <c r="H13" i="43"/>
  <c r="F13" i="43"/>
  <c r="I13" i="43" l="1"/>
  <c r="F10" i="43"/>
  <c r="I10" i="43" s="1"/>
  <c r="H9" i="43"/>
  <c r="F9" i="43"/>
  <c r="K61" i="43"/>
  <c r="H9" i="40"/>
  <c r="F9" i="40"/>
  <c r="H39" i="43"/>
  <c r="F39" i="43"/>
  <c r="K102" i="43"/>
  <c r="K82" i="43"/>
  <c r="L82" i="43" s="1"/>
  <c r="H182" i="43"/>
  <c r="H145" i="43"/>
  <c r="F145" i="43"/>
  <c r="K146" i="43"/>
  <c r="L146" i="43" s="1"/>
  <c r="H152" i="43"/>
  <c r="E167" i="43"/>
  <c r="F167" i="43" s="1"/>
  <c r="I167" i="43" s="1"/>
  <c r="E165" i="43"/>
  <c r="F164" i="43"/>
  <c r="I164" i="43" s="1"/>
  <c r="F109" i="43"/>
  <c r="H102" i="43"/>
  <c r="F102" i="43"/>
  <c r="G98" i="43"/>
  <c r="I9" i="40" l="1"/>
  <c r="I25" i="40" s="1"/>
  <c r="F9" i="30" s="1"/>
  <c r="I9" i="43"/>
  <c r="I39" i="43"/>
  <c r="I145" i="43"/>
  <c r="I102" i="43"/>
  <c r="I109" i="43"/>
  <c r="F76" i="43"/>
  <c r="I76" i="43" s="1"/>
  <c r="H89" i="43"/>
  <c r="F89" i="43"/>
  <c r="H88" i="43"/>
  <c r="F88" i="43"/>
  <c r="H87" i="43"/>
  <c r="F87" i="43"/>
  <c r="H86" i="43"/>
  <c r="F86" i="43"/>
  <c r="I87" i="43" l="1"/>
  <c r="I89" i="43"/>
  <c r="I88" i="43"/>
  <c r="I86" i="43"/>
  <c r="H78" i="43" l="1"/>
  <c r="F78" i="43"/>
  <c r="I78" i="43" l="1"/>
  <c r="E75" i="43"/>
  <c r="F75" i="43" s="1"/>
  <c r="H77" i="43"/>
  <c r="F77" i="43"/>
  <c r="H75" i="43"/>
  <c r="I77" i="43" l="1"/>
  <c r="I75" i="43"/>
  <c r="H108" i="43"/>
  <c r="H107" i="43"/>
  <c r="H106" i="43"/>
  <c r="F47" i="43"/>
  <c r="I47" i="43" s="1"/>
  <c r="F46" i="43"/>
  <c r="I46" i="43" s="1"/>
  <c r="H44" i="43" l="1"/>
  <c r="I44" i="43" s="1"/>
  <c r="H41" i="43"/>
  <c r="F41" i="43"/>
  <c r="H40" i="43"/>
  <c r="F40" i="43"/>
  <c r="H33" i="43"/>
  <c r="F33" i="43"/>
  <c r="H16" i="43"/>
  <c r="F16" i="43"/>
  <c r="F163" i="43"/>
  <c r="H156" i="43"/>
  <c r="F156" i="43"/>
  <c r="H155" i="43"/>
  <c r="F155" i="43"/>
  <c r="F152" i="43"/>
  <c r="I152" i="43" s="1"/>
  <c r="F151" i="43"/>
  <c r="I151" i="43" s="1"/>
  <c r="H150" i="43"/>
  <c r="F150" i="43"/>
  <c r="H149" i="43"/>
  <c r="F149" i="43"/>
  <c r="H148" i="43"/>
  <c r="F148" i="43"/>
  <c r="H147" i="43"/>
  <c r="F147" i="43"/>
  <c r="F146" i="43"/>
  <c r="H144" i="43"/>
  <c r="F144" i="43"/>
  <c r="H143" i="43"/>
  <c r="F143" i="43"/>
  <c r="H142" i="43"/>
  <c r="F142" i="43"/>
  <c r="H141" i="43"/>
  <c r="F141" i="43"/>
  <c r="F127" i="43"/>
  <c r="I127" i="43" s="1"/>
  <c r="F126" i="43"/>
  <c r="I126" i="43" s="1"/>
  <c r="F125" i="43"/>
  <c r="I125" i="43" s="1"/>
  <c r="F124" i="43"/>
  <c r="I124" i="43" s="1"/>
  <c r="F123" i="43"/>
  <c r="I123" i="43" s="1"/>
  <c r="F122" i="43"/>
  <c r="I122" i="43" s="1"/>
  <c r="F121" i="43"/>
  <c r="I121" i="43" s="1"/>
  <c r="F120" i="43"/>
  <c r="I120" i="43" s="1"/>
  <c r="F119" i="43"/>
  <c r="F165" i="43"/>
  <c r="I165" i="43" s="1"/>
  <c r="F108" i="43"/>
  <c r="I108" i="43" s="1"/>
  <c r="F107" i="43"/>
  <c r="I107" i="43" s="1"/>
  <c r="F106" i="43"/>
  <c r="I106" i="43" s="1"/>
  <c r="H105" i="43"/>
  <c r="F105" i="43"/>
  <c r="H101" i="43"/>
  <c r="F101" i="43"/>
  <c r="H100" i="43"/>
  <c r="F100" i="43"/>
  <c r="H99" i="43"/>
  <c r="F99" i="43"/>
  <c r="H98" i="43"/>
  <c r="F98" i="43"/>
  <c r="H97" i="43"/>
  <c r="F97" i="43"/>
  <c r="H84" i="43"/>
  <c r="F84" i="43"/>
  <c r="H82" i="43"/>
  <c r="F82" i="43"/>
  <c r="F62" i="43"/>
  <c r="I62" i="43" s="1"/>
  <c r="H61" i="43"/>
  <c r="F60" i="43"/>
  <c r="I60" i="43" s="1"/>
  <c r="F59" i="43"/>
  <c r="I59" i="43" s="1"/>
  <c r="F58" i="43"/>
  <c r="I58" i="43" s="1"/>
  <c r="F57" i="43"/>
  <c r="I57" i="43" s="1"/>
  <c r="F56" i="43"/>
  <c r="I56" i="43" s="1"/>
  <c r="F55" i="43"/>
  <c r="I55" i="43" s="1"/>
  <c r="F54" i="43"/>
  <c r="I54" i="43" s="1"/>
  <c r="F53" i="43"/>
  <c r="H36" i="43"/>
  <c r="F36" i="43"/>
  <c r="H38" i="43"/>
  <c r="F38" i="43"/>
  <c r="H37" i="43"/>
  <c r="F37" i="43"/>
  <c r="H35" i="43"/>
  <c r="F35" i="43"/>
  <c r="F43" i="43"/>
  <c r="I43" i="43" s="1"/>
  <c r="F42" i="43"/>
  <c r="I42" i="43" s="1"/>
  <c r="H32" i="43"/>
  <c r="F32" i="43"/>
  <c r="H31" i="43"/>
  <c r="F31" i="43"/>
  <c r="H19" i="43"/>
  <c r="F19" i="43"/>
  <c r="F21" i="43"/>
  <c r="I21" i="43" s="1"/>
  <c r="F20" i="43"/>
  <c r="I20" i="43" s="1"/>
  <c r="H15" i="43"/>
  <c r="F15" i="43"/>
  <c r="H14" i="43"/>
  <c r="F14" i="43"/>
  <c r="H12" i="43"/>
  <c r="F50" i="43" l="1"/>
  <c r="H50" i="43"/>
  <c r="F28" i="43"/>
  <c r="H28" i="43"/>
  <c r="H160" i="43"/>
  <c r="I163" i="43"/>
  <c r="I183" i="43" s="1"/>
  <c r="F182" i="43"/>
  <c r="K182" i="43" s="1"/>
  <c r="F94" i="43"/>
  <c r="H94" i="43"/>
  <c r="F160" i="43"/>
  <c r="F116" i="43"/>
  <c r="I53" i="43"/>
  <c r="F72" i="43"/>
  <c r="I61" i="43"/>
  <c r="H72" i="43"/>
  <c r="I119" i="43"/>
  <c r="I139" i="43" s="1"/>
  <c r="F138" i="43"/>
  <c r="H116" i="43"/>
  <c r="I12" i="43"/>
  <c r="I146" i="43"/>
  <c r="I41" i="43"/>
  <c r="I40" i="43"/>
  <c r="I82" i="43"/>
  <c r="I105" i="43"/>
  <c r="I147" i="43"/>
  <c r="I149" i="43"/>
  <c r="I156" i="43"/>
  <c r="I33" i="43"/>
  <c r="I37" i="43"/>
  <c r="I36" i="43"/>
  <c r="I16" i="43"/>
  <c r="I148" i="43"/>
  <c r="I155" i="43"/>
  <c r="I98" i="43"/>
  <c r="I100" i="43"/>
  <c r="I143" i="43"/>
  <c r="I150" i="43"/>
  <c r="I97" i="43"/>
  <c r="I101" i="43"/>
  <c r="I144" i="43"/>
  <c r="I38" i="43"/>
  <c r="I35" i="43"/>
  <c r="I84" i="43"/>
  <c r="I99" i="43"/>
  <c r="I141" i="43"/>
  <c r="I142" i="43"/>
  <c r="I19" i="43"/>
  <c r="I32" i="43"/>
  <c r="I14" i="43"/>
  <c r="I31" i="43"/>
  <c r="I15" i="43"/>
  <c r="I29" i="43" l="1"/>
  <c r="I161" i="43"/>
  <c r="K116" i="43"/>
  <c r="K50" i="43"/>
  <c r="I51" i="43"/>
  <c r="I95" i="43"/>
  <c r="I73" i="43"/>
  <c r="I117" i="43"/>
  <c r="K94" i="43"/>
  <c r="K72" i="43"/>
  <c r="I185" i="43" l="1"/>
  <c r="F9" i="2" s="1"/>
  <c r="D4" i="41"/>
  <c r="H6" i="23" s="1"/>
  <c r="B6" i="41"/>
  <c r="D8" i="23" s="1"/>
  <c r="K35" i="23"/>
  <c r="K37" i="23" s="1"/>
  <c r="E23" i="41" s="1"/>
  <c r="F4" i="53"/>
  <c r="B4" i="53"/>
  <c r="B3" i="53"/>
  <c r="H177" i="47" l="1"/>
  <c r="H101" i="47"/>
  <c r="H139" i="47"/>
  <c r="F177" i="47"/>
  <c r="F82" i="47"/>
  <c r="F139" i="47"/>
  <c r="F158" i="47"/>
  <c r="F101" i="47"/>
  <c r="H82" i="47"/>
  <c r="H158" i="47"/>
  <c r="F120" i="47"/>
  <c r="H120" i="47"/>
  <c r="I140" i="47" l="1"/>
  <c r="I121" i="47"/>
  <c r="I159" i="47"/>
  <c r="I102" i="47"/>
  <c r="I178" i="47"/>
  <c r="I83" i="47"/>
  <c r="K82" i="47"/>
  <c r="K101" i="47"/>
  <c r="K139" i="47"/>
  <c r="K120" i="47"/>
  <c r="K177" i="47"/>
  <c r="K158" i="47"/>
  <c r="F24" i="40" l="1"/>
  <c r="H24" i="40"/>
  <c r="F12" i="49" l="1"/>
  <c r="H12" i="49" l="1"/>
  <c r="H10" i="49"/>
  <c r="F10" i="49"/>
  <c r="H15" i="49"/>
  <c r="H30" i="49"/>
  <c r="F30" i="49"/>
  <c r="I30" i="49" l="1"/>
  <c r="I12" i="49"/>
  <c r="F15" i="49"/>
  <c r="I15" i="49" s="1"/>
  <c r="I10" i="49"/>
  <c r="F20" i="49" l="1"/>
  <c r="I20" i="49" s="1"/>
  <c r="F19" i="49"/>
  <c r="F18" i="49"/>
  <c r="F17" i="49" l="1"/>
  <c r="H16" i="49"/>
  <c r="F16" i="49" l="1"/>
  <c r="I16" i="49" s="1"/>
  <c r="H17" i="49"/>
  <c r="I17" i="49" s="1"/>
  <c r="I18" i="49"/>
  <c r="I19" i="49"/>
  <c r="F29" i="49"/>
  <c r="I29" i="49" s="1"/>
  <c r="F28" i="49"/>
  <c r="I28" i="49" s="1"/>
  <c r="F9" i="49"/>
  <c r="H9" i="49"/>
  <c r="I45" i="49" l="1"/>
  <c r="I9" i="49"/>
  <c r="I26" i="49" l="1"/>
  <c r="K45" i="49" s="1"/>
  <c r="F12" i="2" s="1"/>
  <c r="B3" i="43" l="1"/>
  <c r="H44" i="49" l="1"/>
  <c r="F44" i="49"/>
  <c r="H25" i="49"/>
  <c r="F25" i="49"/>
  <c r="F4" i="49"/>
  <c r="B4" i="49"/>
  <c r="B3" i="49"/>
  <c r="H138" i="43"/>
  <c r="F4" i="48"/>
  <c r="B4" i="48"/>
  <c r="B3" i="48"/>
  <c r="F4" i="47"/>
  <c r="B4" i="47"/>
  <c r="B3" i="47"/>
  <c r="F4" i="44"/>
  <c r="B4" i="44"/>
  <c r="B3" i="44"/>
  <c r="F4" i="43"/>
  <c r="B4" i="43"/>
  <c r="K138" i="43" l="1"/>
  <c r="K44" i="49"/>
  <c r="K25" i="49"/>
  <c r="K28" i="43"/>
  <c r="L24" i="40" l="1"/>
  <c r="A1" i="2"/>
  <c r="S24" i="2"/>
  <c r="T24" i="2"/>
  <c r="R24" i="2"/>
  <c r="Q24" i="2"/>
  <c r="Q23" i="2"/>
  <c r="T23" i="2"/>
  <c r="R23" i="2"/>
  <c r="S23" i="2"/>
  <c r="F25" i="30" l="1"/>
  <c r="L24" i="2"/>
  <c r="L23" i="2"/>
  <c r="K21" i="2"/>
  <c r="D5" i="23"/>
  <c r="D6" i="23"/>
  <c r="D7" i="23"/>
  <c r="H8" i="23"/>
  <c r="C6" i="41"/>
  <c r="D5" i="30"/>
  <c r="E5" i="41"/>
  <c r="F4" i="40"/>
  <c r="D5" i="2"/>
  <c r="B5" i="41"/>
  <c r="B4" i="41"/>
  <c r="B4" i="40"/>
  <c r="B3" i="40"/>
  <c r="E4" i="30"/>
  <c r="B4" i="30"/>
  <c r="B3" i="30"/>
  <c r="E4" i="2"/>
  <c r="B4" i="2"/>
  <c r="B3" i="2"/>
  <c r="H25" i="30" l="1"/>
  <c r="H27" i="30" s="1"/>
  <c r="C12" i="19" s="1"/>
  <c r="F16" i="26" l="1"/>
  <c r="B15" i="26"/>
  <c r="D15" i="26" s="1"/>
  <c r="E15" i="26" s="1"/>
  <c r="B3" i="26"/>
  <c r="D3" i="26" s="1"/>
  <c r="E3" i="26" s="1"/>
  <c r="C16" i="26"/>
  <c r="B14" i="26"/>
  <c r="D14" i="26" s="1"/>
  <c r="E14" i="26" s="1"/>
  <c r="B13" i="26"/>
  <c r="D13" i="26" s="1"/>
  <c r="E13" i="26" s="1"/>
  <c r="B12" i="26"/>
  <c r="D12" i="26" s="1"/>
  <c r="E12" i="26" s="1"/>
  <c r="B11" i="26"/>
  <c r="D11" i="26" s="1"/>
  <c r="E11" i="26" s="1"/>
  <c r="B10" i="26"/>
  <c r="D10" i="26" s="1"/>
  <c r="E10" i="26" s="1"/>
  <c r="B9" i="26"/>
  <c r="D9" i="26" s="1"/>
  <c r="E9" i="26" s="1"/>
  <c r="B8" i="26"/>
  <c r="D8" i="26" s="1"/>
  <c r="E8" i="26" s="1"/>
  <c r="B7" i="26"/>
  <c r="D7" i="26" s="1"/>
  <c r="E7" i="26" s="1"/>
  <c r="B6" i="26"/>
  <c r="D6" i="26" s="1"/>
  <c r="E6" i="26" s="1"/>
  <c r="B5" i="26"/>
  <c r="D5" i="26" s="1"/>
  <c r="E5" i="26" s="1"/>
  <c r="B4" i="26"/>
  <c r="D4" i="26" s="1"/>
  <c r="E4" i="26" s="1"/>
  <c r="E16" i="26" l="1"/>
  <c r="B16" i="26"/>
  <c r="D16" i="26" s="1"/>
  <c r="B28" i="19" l="1"/>
  <c r="N23" i="2"/>
  <c r="O22" i="2"/>
  <c r="I189" i="43"/>
  <c r="F19" i="2"/>
  <c r="N22" i="2" l="1"/>
  <c r="O23" i="2" s="1"/>
  <c r="O24" i="2" s="1"/>
  <c r="G19" i="2" s="1"/>
  <c r="H19" i="2" s="1"/>
  <c r="H26" i="2" s="1"/>
  <c r="C11" i="19" s="1"/>
  <c r="C26" i="19" s="1"/>
  <c r="E27" i="19" s="1"/>
  <c r="K160" i="43"/>
</calcChain>
</file>

<file path=xl/comments1.xml><?xml version="1.0" encoding="utf-8"?>
<comments xmlns="http://schemas.openxmlformats.org/spreadsheetml/2006/main">
  <authors>
    <author>Corporate Edition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>พิมพ์ตัวเลขจำนวนหน้าเลย</t>
        </r>
      </text>
    </comment>
  </commentList>
</comments>
</file>

<file path=xl/sharedStrings.xml><?xml version="1.0" encoding="utf-8"?>
<sst xmlns="http://schemas.openxmlformats.org/spreadsheetml/2006/main" count="1136" uniqueCount="429">
  <si>
    <t>ลำดับที่</t>
  </si>
  <si>
    <t>รายการ</t>
  </si>
  <si>
    <t>จำนวน</t>
  </si>
  <si>
    <t>หน่วย</t>
  </si>
  <si>
    <t>ราคาหน่วยละ</t>
  </si>
  <si>
    <t>จำนวนเงิน</t>
  </si>
  <si>
    <t>ที่</t>
  </si>
  <si>
    <t>FACTOR F</t>
  </si>
  <si>
    <t>หมายเหตุ</t>
  </si>
  <si>
    <t xml:space="preserve"> </t>
  </si>
  <si>
    <t xml:space="preserve">   </t>
  </si>
  <si>
    <t>ค่างานต้นทุน</t>
  </si>
  <si>
    <t>เงื่อนไขการใช้ตาราง Factor   F</t>
  </si>
  <si>
    <t>FACTOR  F</t>
  </si>
  <si>
    <t>แบบเลขที่</t>
  </si>
  <si>
    <t xml:space="preserve">เงินประกันผลงานหัก                                </t>
  </si>
  <si>
    <t xml:space="preserve">ดอกเบี้ยเงินกู้                    </t>
  </si>
  <si>
    <t xml:space="preserve">VAT                                                           </t>
  </si>
  <si>
    <t>รวม</t>
  </si>
  <si>
    <t>งาน</t>
  </si>
  <si>
    <t>ค่างาน</t>
  </si>
  <si>
    <t>ค่าก่อสร้าง</t>
  </si>
  <si>
    <t>รวมราคาก่อสร้าง</t>
  </si>
  <si>
    <t>ค่าใช้จ่ายพิเศษ</t>
  </si>
  <si>
    <t>ราคารวม วัสดุ + แรงงาน</t>
  </si>
  <si>
    <t xml:space="preserve">เงินล่วงหน้าจ่าย  </t>
  </si>
  <si>
    <t>(ค่าใช้จ่ายพิเศษตามข้อกำหนดและค่าใช้จ่ายอื่นที่จำเป็นต้องมี)</t>
  </si>
  <si>
    <t xml:space="preserve">                                                                     หน้าที่    11</t>
  </si>
  <si>
    <t>รายการค่าใช้จ่าย</t>
  </si>
  <si>
    <t>ราคาต่อหน่วย</t>
  </si>
  <si>
    <t>ราคารวม</t>
  </si>
  <si>
    <t>รวมค่าใช้จ่าย</t>
  </si>
  <si>
    <t>ค่าภาษีมูลค่าเพิ่ม</t>
  </si>
  <si>
    <t>1. เหตุผลและความจำเป็นที่ต้องมีค่าใช้จ่ายพิเศษตามข้อกำหนดฯ รายการนี้</t>
  </si>
  <si>
    <t>2. รายละเอียดการคำนวณ</t>
  </si>
  <si>
    <t>Advance</t>
  </si>
  <si>
    <t>BUDJET</t>
  </si>
  <si>
    <t>&gt; 500</t>
  </si>
  <si>
    <t xml:space="preserve"> แบบแสดงการคำนวณและเหตุผลความจำเป็น</t>
  </si>
  <si>
    <t>สำหรับค่าใช้จ่ายพิเศษตามข้อกำหนดฯ</t>
  </si>
  <si>
    <t>สรปค่าใช้จ่ายพิเศษ</t>
  </si>
  <si>
    <t>ค่าเครน 15,000 ค่าธรรมเนียม 10,000</t>
  </si>
  <si>
    <t>รวม (บาท )</t>
  </si>
  <si>
    <t>ค่าแรงงาน  (บาท )</t>
  </si>
  <si>
    <t>ค่าวัสดุ  (บาท )</t>
  </si>
  <si>
    <t>ค่าเช่า 15,000/ เดือน ค่าน้ำมัน 1,200 / วัน</t>
  </si>
  <si>
    <t>ค่าแรงเพิ่มอีก 35 % ของค่าแรงปกติ เฉพาะงานโครงสร้างท่าเรือ (ค่าแรง =  600,000)</t>
  </si>
  <si>
    <t>ประมาณ 5 % ของค่าวัสดุ ทั้งโครงการ ( ค่าวัสดุทั้งหมด 10.4 ล้าน )</t>
  </si>
  <si>
    <t>คิดเป็น</t>
  </si>
  <si>
    <t>ปรับเป็น</t>
  </si>
  <si>
    <t>มูลค่างานในงวด</t>
  </si>
  <si>
    <t>รวมมูลค่างวด</t>
  </si>
  <si>
    <t>วัสดุและแรงงาน</t>
  </si>
  <si>
    <t xml:space="preserve"> รวมเงินหน้านี้</t>
  </si>
  <si>
    <t xml:space="preserve">สถานที่  </t>
  </si>
  <si>
    <t xml:space="preserve">หน่วยงานเจ้าของโครงการ/งานก่อสร้าง  </t>
  </si>
  <si>
    <t xml:space="preserve">แบบเลขที่  </t>
  </si>
  <si>
    <t>งานอาคาร</t>
  </si>
  <si>
    <t xml:space="preserve">กลุ่มงาน  </t>
  </si>
  <si>
    <t>ชื่อโครงการ</t>
  </si>
  <si>
    <t>แบบแสดงรายการปริมาณงานและราคา</t>
  </si>
  <si>
    <t xml:space="preserve"> ลำดับที่</t>
  </si>
  <si>
    <t>กลุ่มงาน</t>
  </si>
  <si>
    <t>สถานที่ก่อสร้าง</t>
  </si>
  <si>
    <t>( บาท )</t>
  </si>
  <si>
    <t xml:space="preserve">แบบ ปร. 4 ที่แนบ   จำนวน  </t>
  </si>
  <si>
    <t>ชื่อโครงการ/</t>
  </si>
  <si>
    <t>แบบ    ปร.4   และ   ปร.5 ที่แนบ</t>
  </si>
  <si>
    <t>ราคารวม ค่าครุภัณฑ์</t>
  </si>
  <si>
    <t>รวมราคา ค่าครุภัณฑ์ จัดซื้อ</t>
  </si>
  <si>
    <t>ภาษี</t>
  </si>
  <si>
    <t>มูลค่าเพิ่ม</t>
  </si>
  <si>
    <t>แบบสรุปค่าครุภัณฑ์ จัดซื้อ</t>
  </si>
  <si>
    <t xml:space="preserve">รายการ </t>
  </si>
  <si>
    <t>ค่าใช้จ่ายรวม (บาท )</t>
  </si>
  <si>
    <t>( ค่าก่อสร้าง )</t>
  </si>
  <si>
    <t xml:space="preserve"> รวมเงิน ค่าใช้จ่ายพิเศษตามข้อกำหนดทุกรายการ</t>
  </si>
  <si>
    <t xml:space="preserve">หน่วยงานเจ้าของโครงการ </t>
  </si>
  <si>
    <t>คำนวณราคากลางโดย</t>
  </si>
  <si>
    <t>ประกันผลงาน</t>
  </si>
  <si>
    <t>&gt;200</t>
  </si>
  <si>
    <t>วงเงิน</t>
  </si>
  <si>
    <t>FACTOR  F -&gt;</t>
  </si>
  <si>
    <t>RETENSION</t>
  </si>
  <si>
    <t>คำนวณราคาโดย</t>
  </si>
  <si>
    <t xml:space="preserve">หมายเหตุ  :  ใช้ FACTOR F ที่ปรับปรุงและทบทวน ของ กรมบัญชีกลาง ล่าสุด  ตามหนังสือเวียน  </t>
  </si>
  <si>
    <t>ส่วนต่างวงเงิน</t>
  </si>
  <si>
    <t>ค่าเปลี่ยนแปลง</t>
  </si>
  <si>
    <t xml:space="preserve">ที่ กค.0405.3/ ว.364 เมื่อวันที่  15 ก.ย. 2559 </t>
  </si>
  <si>
    <t>สรุปราคา(ปัดเศษ)</t>
  </si>
  <si>
    <t>ครุภัณฑ์</t>
  </si>
  <si>
    <t>แบบสรุปราคากลาง งานก่อสร้าง</t>
  </si>
  <si>
    <t>รวมค่าก่อสร้างทั้งโครงการ</t>
  </si>
  <si>
    <t>หน่วยงานเจ้าของโครงการ/งานก่อสร้าง</t>
  </si>
  <si>
    <t>ลบ.ม.</t>
  </si>
  <si>
    <t>-</t>
  </si>
  <si>
    <t xml:space="preserve"> - คอนกรีตหยาบ</t>
  </si>
  <si>
    <t>ตร.ม.</t>
  </si>
  <si>
    <t>ตัน</t>
  </si>
  <si>
    <t xml:space="preserve"> - ลวดผูกเหล็ก</t>
  </si>
  <si>
    <t>กก.</t>
  </si>
  <si>
    <t xml:space="preserve"> - ตะปู</t>
  </si>
  <si>
    <t xml:space="preserve"> - เหล็กเสริมคอนกรีต</t>
  </si>
  <si>
    <t>ชุด</t>
  </si>
  <si>
    <t>ม.</t>
  </si>
  <si>
    <t>งานมุงหลังคา</t>
  </si>
  <si>
    <t>วัสดุ + แรงงาน</t>
  </si>
  <si>
    <t>งานฝ้าเพดาน</t>
  </si>
  <si>
    <t xml:space="preserve"> - ผนังฉาบปูนเรียบ</t>
  </si>
  <si>
    <t>งานผิวพื้น</t>
  </si>
  <si>
    <t>งานประตู - หน้าต่าง</t>
  </si>
  <si>
    <t>งานสุขภัณฑ์</t>
  </si>
  <si>
    <t xml:space="preserve"> - สายอ่อนชำระ</t>
  </si>
  <si>
    <t>งานทาสี</t>
  </si>
  <si>
    <t xml:space="preserve"> - งานทาสีน้ำมัน</t>
  </si>
  <si>
    <t>งานเบ็ดเตล็ด</t>
  </si>
  <si>
    <t xml:space="preserve"> อ.สัตหีบ  จว.ชลบุรี</t>
  </si>
  <si>
    <t>ตู้</t>
  </si>
  <si>
    <t xml:space="preserve"> - แบบหล่อคอนกรีต</t>
  </si>
  <si>
    <t xml:space="preserve"> - คอนกรีตโครงสร้าง (240 ksc)</t>
  </si>
  <si>
    <t>งานระบบประปาภายใน</t>
  </si>
  <si>
    <t>งานภูมิทัศน์</t>
  </si>
  <si>
    <t>งานถนนและลาน ค.ส.ล.</t>
  </si>
  <si>
    <t xml:space="preserve"> - งานปลูกหญ้านวลน้อย</t>
  </si>
  <si>
    <t xml:space="preserve"> - คันขอบสำเร็จรูป</t>
  </si>
  <si>
    <t xml:space="preserve"> - หินคลุก</t>
  </si>
  <si>
    <t xml:space="preserve"> - บดอัดหินคลุก</t>
  </si>
  <si>
    <t xml:space="preserve"> - ทรายปรับระดับบดอัดแน่น</t>
  </si>
  <si>
    <t xml:space="preserve"> - เหล็ก wire mesh Ø 4 mm. @ 0.20 ม.</t>
  </si>
  <si>
    <t xml:space="preserve"> - ปูแผ่นพลาสติก</t>
  </si>
  <si>
    <t xml:space="preserve">ท่อน </t>
  </si>
  <si>
    <t xml:space="preserve"> - พื้นผิวขัดเรียบ</t>
  </si>
  <si>
    <t xml:space="preserve"> - บดอัดชั้นดิน</t>
  </si>
  <si>
    <t>วัสดุ+แรงงาน</t>
  </si>
  <si>
    <t>สายไฟฟ้าและท่อร้อยสายไฟฟ้า</t>
  </si>
  <si>
    <t>ท่อน</t>
  </si>
  <si>
    <t xml:space="preserve"> - อุปกรณ์ประกอบและอื่น ๆ</t>
  </si>
  <si>
    <t>งานระบบไฟฟ้าภายนอก</t>
  </si>
  <si>
    <t>งานระบบประปาภายนอก</t>
  </si>
  <si>
    <t>อัน</t>
  </si>
  <si>
    <t xml:space="preserve"> - ทรายหยาบ</t>
  </si>
  <si>
    <t>ถัง</t>
  </si>
  <si>
    <t>บ่อ</t>
  </si>
  <si>
    <r>
      <t xml:space="preserve">รายการ     </t>
    </r>
    <r>
      <rPr>
        <b/>
        <sz val="14"/>
        <rFont val="TH Sarabun New"/>
        <family val="2"/>
      </rPr>
      <t>(ระบุรายการค่าใช้จ่ายพิเศษตามข้อกำหนด)</t>
    </r>
  </si>
  <si>
    <r>
      <rPr>
        <b/>
        <sz val="16"/>
        <rFont val="TH Sarabun New"/>
        <family val="2"/>
      </rPr>
      <t>หน่วยงานเจ้าของโครงการ</t>
    </r>
    <r>
      <rPr>
        <sz val="16"/>
        <rFont val="TH Sarabun New"/>
        <family val="2"/>
      </rPr>
      <t xml:space="preserve"> </t>
    </r>
  </si>
  <si>
    <r>
      <rPr>
        <b/>
        <sz val="14"/>
        <rFont val="TH Sarabun New"/>
        <family val="2"/>
      </rPr>
      <t>หน่วยงานเจ้าของโครงการ</t>
    </r>
    <r>
      <rPr>
        <sz val="14"/>
        <rFont val="TH Sarabun New"/>
        <family val="2"/>
      </rPr>
      <t xml:space="preserve"> </t>
    </r>
  </si>
  <si>
    <t>ศฝ.สอ.รฝ.</t>
  </si>
  <si>
    <t xml:space="preserve"> - คอนกรีตโครงสร้าง</t>
  </si>
  <si>
    <t xml:space="preserve"> - เหล็กเสริมคอนกรีต </t>
  </si>
  <si>
    <t>งานโครงหลังคาเหล็ก</t>
  </si>
  <si>
    <t xml:space="preserve"> - เหล็กแผ่น หนา 8 มม.</t>
  </si>
  <si>
    <t>แผ่น</t>
  </si>
  <si>
    <t xml:space="preserve"> - เหล็ก L 50 x 50 x 4 มม.</t>
  </si>
  <si>
    <t xml:space="preserve"> - งานทาสีกันสนิมและสีน้ำมัน</t>
  </si>
  <si>
    <t xml:space="preserve"> - ฝ้ายิบซั่มบอร์ด หนา 9 มม.ฉาบรอยต่อเรียบ โครงคร่าวเหล็ก  ชุบสังกะสี</t>
  </si>
  <si>
    <t xml:space="preserve"> - ฝ้ายิบซั่มบอร์ด หนา 9 มม.ชนิดทนชื้น ฉาบรอยต่อเรียบ</t>
  </si>
  <si>
    <t xml:space="preserve">   โครงคร่าวเหล็กชุบสังกะสี</t>
  </si>
  <si>
    <t>งานผนังและฝา</t>
  </si>
  <si>
    <t xml:space="preserve"> - ผนังก่ออิฐบล็อคโชว์แนว</t>
  </si>
  <si>
    <t xml:space="preserve"> - ผนังก่ออิฐบล็อคระบายอากาศ</t>
  </si>
  <si>
    <t xml:space="preserve"> - พื้นผิวซีเมนต์ขัดหยาบ</t>
  </si>
  <si>
    <t xml:space="preserve"> - พื้นผิวซีเมนต์ขัดมันตีเส้น</t>
  </si>
  <si>
    <t xml:space="preserve"> - ป 1</t>
  </si>
  <si>
    <t xml:space="preserve"> - ป 2</t>
  </si>
  <si>
    <t xml:space="preserve"> - ป 3</t>
  </si>
  <si>
    <t xml:space="preserve"> - ป 4</t>
  </si>
  <si>
    <t xml:space="preserve"> - น 1</t>
  </si>
  <si>
    <t xml:space="preserve"> - น 1'</t>
  </si>
  <si>
    <t xml:space="preserve"> - น 2</t>
  </si>
  <si>
    <t xml:space="preserve"> - น 3</t>
  </si>
  <si>
    <t xml:space="preserve"> - น 4</t>
  </si>
  <si>
    <t xml:space="preserve"> - โถปัสสาวะชายติดผนัง</t>
  </si>
  <si>
    <t xml:space="preserve"> - อ่างล้างหน้าฝังเคาน์เตอร์</t>
  </si>
  <si>
    <t xml:space="preserve"> - อ่างล้างหน้าแขวนผนัง</t>
  </si>
  <si>
    <t xml:space="preserve"> - กระจกเงา - หิ้งวางของ</t>
  </si>
  <si>
    <t xml:space="preserve"> - ที่ใส่กระดาษชำระ</t>
  </si>
  <si>
    <t xml:space="preserve"> - ขอแขวนผ้า</t>
  </si>
  <si>
    <t xml:space="preserve"> - เคาน์เตอร์ ค.ส.ล.กรุกระเบื้องเซรามิค ขนาด 8" x 8"</t>
  </si>
  <si>
    <t xml:space="preserve"> - ที่คว่ำภาชนะ</t>
  </si>
  <si>
    <t>ครุภัณฑ์ประจำอาคาร</t>
  </si>
  <si>
    <t xml:space="preserve">               RB   6 mm.      (RB  24 )</t>
  </si>
  <si>
    <t xml:space="preserve">               RB   9 mm.      (RB  24 )</t>
  </si>
  <si>
    <t xml:space="preserve">               DB 16 mm.      (DB  40 )</t>
  </si>
  <si>
    <t xml:space="preserve">               DB 12 mm.      (DB  40 )</t>
  </si>
  <si>
    <t xml:space="preserve"> - คอนกรีตทับหน้า</t>
  </si>
  <si>
    <t xml:space="preserve"> - ดินเดิมบดอัดแน่น</t>
  </si>
  <si>
    <t xml:space="preserve"> - รอยต่อคอนกรีตคั้นด้วยโฟม หนา 2 ซม. ลึกประมาณ 15 ซม.</t>
  </si>
  <si>
    <t xml:space="preserve">   ยาแนวด้วยแอสฟัลท์ผสมทราย</t>
  </si>
  <si>
    <t>วัสดุ+</t>
  </si>
  <si>
    <t>แรงงาน</t>
  </si>
  <si>
    <t xml:space="preserve"> - พื้นสำเร็จรูป หนา 5 ซม.รับน้ำหนักไม่น้อยกว่า 300 กก./ตร.ม.</t>
  </si>
  <si>
    <t xml:space="preserve"> - ค่าแรงประกอบและติดตั้งโครงหลังคาเหล็ก</t>
  </si>
  <si>
    <t xml:space="preserve"> - เหล็กแผ่นขนาด 200 x 200 x 6 มม.DB 16 มม.ANCHOR BOLT</t>
  </si>
  <si>
    <t xml:space="preserve">วัสดุ +  </t>
  </si>
  <si>
    <t xml:space="preserve"> - งานกำจัดปลวก</t>
  </si>
  <si>
    <t xml:space="preserve"> - หลังคาเหล็กรีดลอนเคลือบสี หนา 0.50 มม. ฉนวนกันความร้อน หนา 5 มม.</t>
  </si>
  <si>
    <t xml:space="preserve"> - FLASHING(ครอบสัน)</t>
  </si>
  <si>
    <t xml:space="preserve"> - FLASHING(ครอบข้าง)</t>
  </si>
  <si>
    <t xml:space="preserve"> - พื้นผิวซีเมนต์ขัดมัน</t>
  </si>
  <si>
    <t xml:space="preserve"> - เคาน์เตอร์ ค.ส.ล.กรุกระเบื้องเซรามิค ขนาด 0.20 x 0.20 ม. พร้อมตู้ไม้</t>
  </si>
  <si>
    <t xml:space="preserve"> - ฝ้าเพดานเหล็กรีดลอนเคลือบสี ความหนาเหล็กรวมชั้นเคลือบไม่น้อยกว่า</t>
  </si>
  <si>
    <t xml:space="preserve">   0.50 มม. ติดตั้งโดยระบบสกรูโครงคร่าวเหล็กชุบสังกะสี</t>
  </si>
  <si>
    <t xml:space="preserve"> - BOTTOM  TRIM</t>
  </si>
  <si>
    <t xml:space="preserve"> - FLASHING  CEILING</t>
  </si>
  <si>
    <t xml:space="preserve"> - EAVES  FLASHING + DRLLING</t>
  </si>
  <si>
    <t xml:space="preserve"> - ปิดจั่ว 2 ด้าน เหล็กรีดลอนเคลือบสี หนา 0.50 มม. พร้อมโครงคร่าว</t>
  </si>
  <si>
    <t xml:space="preserve"> - เหล็กแผ่นขนาด 200 x 200 x 6 มม.4 ø 15 มม.ANCHOR BOLT</t>
  </si>
  <si>
    <t xml:space="preserve"> - TIE ROD ø 12 มม.พร้อมเกลียวผ่อนเร่ง</t>
  </si>
  <si>
    <t xml:space="preserve"> - ผนังก่ออิฐมวลเบา</t>
  </si>
  <si>
    <t xml:space="preserve"> - ผนังกรุกระเบื้องเซรามิค ขนาด 0.20 x 0.20 ม.</t>
  </si>
  <si>
    <t xml:space="preserve"> - งานเสาเอ็นและทับหลัง ค.ส.ล.</t>
  </si>
  <si>
    <t xml:space="preserve"> - บัวเชิงผนังขัดมัน สูง 0.20 ม.</t>
  </si>
  <si>
    <t xml:space="preserve"> - พื้นปูกระเบื้องเซรามิค ขนาด 0.20 x 0.20 ม.</t>
  </si>
  <si>
    <t xml:space="preserve"> - ที่ล้างภาชนะ ค.ส.ล.กรุกระเบื้องเซรามิค ขนาด 0.20x0.20 ม.</t>
  </si>
  <si>
    <t>เก็บของ รายละเอียดตามแบบ (ห้องเตรียมอาหาร)</t>
  </si>
  <si>
    <t xml:space="preserve"> - อ่างล้างมือชนิดฝังเคาน์เตอร์ พร้อมอุปกรณ์ (ห้องเตรียมอาหาร)</t>
  </si>
  <si>
    <t xml:space="preserve"> - งานทาสีอะครีลิค</t>
  </si>
  <si>
    <t xml:space="preserve"> - โถส้วมนั่งยอง พร้อมหม้อน้ำ</t>
  </si>
  <si>
    <t xml:space="preserve"> - แผงกั้นเซรามิค</t>
  </si>
  <si>
    <t xml:space="preserve"> - กระจกเงา</t>
  </si>
  <si>
    <t xml:space="preserve"> - อ่างซิงค์ </t>
  </si>
  <si>
    <t xml:space="preserve"> - เหล็ก []100 x 50 x 3.2 มม.</t>
  </si>
  <si>
    <t xml:space="preserve"> - เหล็ก [] 50 x 50 x 3.2 มม.</t>
  </si>
  <si>
    <t>ครุภัณฑ์อาคาร</t>
  </si>
  <si>
    <t xml:space="preserve"> - โต๊ะอาหาร พร้อมเก้าอี้ (โต๊ะ 1 ชุด + เก้าอี้ 2 ชุด) รายละเอียดตามแบบ</t>
  </si>
  <si>
    <t xml:space="preserve"> - เหล็ก  [ 100 x 50 x 20 x 3.2 มม.</t>
  </si>
  <si>
    <t>ต้น</t>
  </si>
  <si>
    <t xml:space="preserve"> - เสาเข็ม ค.อ.ร. [] 0.35x0.35 ม. ยาว 8 .00 ม. Safe load 20 ตัน/ต้น</t>
  </si>
  <si>
    <t xml:space="preserve"> - BORNING TEST </t>
  </si>
  <si>
    <t>หลุม</t>
  </si>
  <si>
    <t xml:space="preserve"> - ขุดดินและถมคืน</t>
  </si>
  <si>
    <t>งานเสาเข็ม และฐานราก ค.ส.ล.</t>
  </si>
  <si>
    <t>งานเสาตอม่อและ โครงสร้าง ค.ส.ล.</t>
  </si>
  <si>
    <t xml:space="preserve"> - เส้น PVC ฝังพื้น</t>
  </si>
  <si>
    <t xml:space="preserve"> - งานถมดิน</t>
  </si>
  <si>
    <t xml:space="preserve"> - เหล็ก RB 15 mm. DOWEL BAR ยาว 0.40 ม.</t>
  </si>
  <si>
    <t xml:space="preserve"> - Dynamic Load Test </t>
  </si>
  <si>
    <t xml:space="preserve"> - ทดสอบความหนาแน่น ชั้นละ 2 จุด</t>
  </si>
  <si>
    <t>จุด</t>
  </si>
  <si>
    <t>ถมดินสูง 1 ม.</t>
  </si>
  <si>
    <t xml:space="preserve"> - งานถากถาง กำจัดวัชพืช </t>
  </si>
  <si>
    <t xml:space="preserve"> - TAPER  LUMINAIRE 2x~16-18W. LED TUBE LAMP</t>
  </si>
  <si>
    <t xml:space="preserve"> - ACRYLIC DIFFUSER LUMINAIRE (RECESS TYPE)</t>
  </si>
  <si>
    <t xml:space="preserve">   2x~16-20W. LED TUBE LAMP</t>
  </si>
  <si>
    <t xml:space="preserve"> - DOWNLIGHT LUMINAI (RERECESS TYPE) 1X ~12 W. LED BULB </t>
  </si>
  <si>
    <t xml:space="preserve">   LAMP (REPLACEME OF 100W GLS LAMP)</t>
  </si>
  <si>
    <t xml:space="preserve"> - WATER PROOF LUMINAIRE 1x~8-10W. LED TUBE LAMP IP65</t>
  </si>
  <si>
    <t xml:space="preserve"> - 16A. 250 V.AC. ONE WAY SWITCH NUMBER "X" /w. BOX</t>
  </si>
  <si>
    <t xml:space="preserve"> - 16A. 250V.AC. DUPLEX RECEPTACLE (2P+G)</t>
  </si>
  <si>
    <t xml:space="preserve">   UNIVERSAL TYPE</t>
  </si>
  <si>
    <t xml:space="preserve"> - 16" CEILING FAN</t>
  </si>
  <si>
    <t xml:space="preserve">ตู้  LC-1 </t>
  </si>
  <si>
    <t xml:space="preserve"> - ตู้ LOAD CENTER ชนิดมี 36 ช่อง พร้อม MAIN CIRCUIT</t>
  </si>
  <si>
    <t xml:space="preserve">  BREAKER 63AT. 3P. MCCB. 15kA.IC. at.416 V.AC.</t>
  </si>
  <si>
    <t xml:space="preserve"> - BRANCH  BREAKER  10AT. 1P. 6kA.</t>
  </si>
  <si>
    <t xml:space="preserve"> - BRANCH  BREAKER  20AT. 1P. 6kA.</t>
  </si>
  <si>
    <t xml:space="preserve"> - BRANCH  BREAKER  20AT. 1P. 6kA. RCBO</t>
  </si>
  <si>
    <t xml:space="preserve"> - GROUND SYSTEM </t>
  </si>
  <si>
    <t xml:space="preserve"> - MCB 32AT. 3P. 10 kA.</t>
  </si>
  <si>
    <t xml:space="preserve"> - 1.5 Sq.mm. IEC-01</t>
  </si>
  <si>
    <t>เมตร</t>
  </si>
  <si>
    <t xml:space="preserve"> - 2.5 Sq.mm. IEC-01</t>
  </si>
  <si>
    <t xml:space="preserve"> - 4 Sq.mm. IEC-01</t>
  </si>
  <si>
    <t xml:space="preserve"> - 6 Sq.mm. IEC-01</t>
  </si>
  <si>
    <t xml:space="preserve"> - JUNCTION BOX</t>
  </si>
  <si>
    <t>323,074x10%</t>
  </si>
  <si>
    <t>รวมเงิน</t>
  </si>
  <si>
    <t xml:space="preserve">ระบบโทรศัพท์  </t>
  </si>
  <si>
    <t xml:space="preserve"> - 10 Pairs TELEPHONE DISCONNECTION BOX</t>
  </si>
  <si>
    <t xml:space="preserve"> - BACK MOUNT FRAME 3 POS.</t>
  </si>
  <si>
    <t xml:space="preserve"> - CONNECTION TERMINAL/w SURGE ARRESTOR</t>
  </si>
  <si>
    <t xml:space="preserve"> - CONNECTION TERMINAL</t>
  </si>
  <si>
    <t xml:space="preserve"> - TELEPHONE OUTLET (MODULAR JACK TYPE) 6P4C</t>
  </si>
  <si>
    <t xml:space="preserve"> - สายโทรศัพท์ 6C - 0.65 mm. TIEV.</t>
  </si>
  <si>
    <t xml:space="preserve"> - ท่อ Ø 15 mm.  EMT</t>
  </si>
  <si>
    <t xml:space="preserve"> - ท่อ ø 15 mm. EMT.</t>
  </si>
  <si>
    <t xml:space="preserve"> - ท่อ ø 15 mm. IMC.</t>
  </si>
  <si>
    <t xml:space="preserve"> - ท่อ ø 20 mm. IMC.</t>
  </si>
  <si>
    <t>งานระบบไฟฟ้าภายใน</t>
  </si>
  <si>
    <t>งานระบบไฟฟ้าภายในและระบบโทรศัพท์</t>
  </si>
  <si>
    <t>ระบบไฟฟ้าภายนอกอาคาร</t>
  </si>
  <si>
    <t xml:space="preserve"> - เสาไฟฟ้าแรงต่ำ คอร. ขนาด  08.00 ม.</t>
  </si>
  <si>
    <t xml:space="preserve"> - 5 mm. THICK HEAVY TYPE RACK  4 SPOOL</t>
  </si>
  <si>
    <t xml:space="preserve"> - SPOOL INSULATOR (53-2)</t>
  </si>
  <si>
    <t xml:space="preserve"> - สายไฟฟ้า 35 Sq.mm. IEC-01</t>
  </si>
  <si>
    <t xml:space="preserve"> - ท่อ 40 mm. IMC</t>
  </si>
  <si>
    <t xml:space="preserve"> - สายยึดโยง (GUY  WIRE)</t>
  </si>
  <si>
    <t xml:space="preserve"> - PREFORMED  35 Sq.mm.</t>
  </si>
  <si>
    <t>x12%</t>
  </si>
  <si>
    <t xml:space="preserve"> - ค่าแรงระบบไฟฟ้าภายนอกอาคาร</t>
  </si>
  <si>
    <t>x18%</t>
  </si>
  <si>
    <t xml:space="preserve"> - SERVICE  ENTRANCE 40 mm.</t>
  </si>
  <si>
    <r>
      <t xml:space="preserve"> - เหล็ก WIRE MESH ø 4 มม. @ 0.20</t>
    </r>
    <r>
      <rPr>
        <vertAlign val="superscript"/>
        <sz val="14"/>
        <rFont val="TH Sarabun New"/>
        <family val="2"/>
      </rPr>
      <t>#</t>
    </r>
  </si>
  <si>
    <t xml:space="preserve"> - 5 mm. THICK HEAVY TYPE RACK  2 SPOOL</t>
  </si>
  <si>
    <t xml:space="preserve"> - สายไฟฟ้า 10 Sq.mm. IEC-01</t>
  </si>
  <si>
    <t xml:space="preserve"> - STREET LIGHT 2~16-18 W.LED TUBE /w. 1.5" Dia 1.5m. Long Bracket</t>
  </si>
  <si>
    <t>PVC 13.5</t>
  </si>
  <si>
    <t xml:space="preserve"> - Ø 1/2" </t>
  </si>
  <si>
    <t xml:space="preserve"> - Ø 3/4" </t>
  </si>
  <si>
    <t xml:space="preserve"> - Ø 1" </t>
  </si>
  <si>
    <t xml:space="preserve"> - Ø 1 1/2" </t>
  </si>
  <si>
    <t xml:space="preserve"> HDPE PN 10,PE 100</t>
  </si>
  <si>
    <t xml:space="preserve"> - Ø 50 mm.</t>
  </si>
  <si>
    <t xml:space="preserve"> - Ø 63 mm.</t>
  </si>
  <si>
    <t xml:space="preserve"> - Fitting &amp; Accessories</t>
  </si>
  <si>
    <t xml:space="preserve"> - Support &amp; Hanger</t>
  </si>
  <si>
    <t xml:space="preserve"> STOP VALVE</t>
  </si>
  <si>
    <t>ตัว</t>
  </si>
  <si>
    <t xml:space="preserve">HOSEE BIBB </t>
  </si>
  <si>
    <t xml:space="preserve"> - Ø 1" (ติดใต้ SINK)</t>
  </si>
  <si>
    <t xml:space="preserve">อุปกรณ์ประกอบ </t>
  </si>
  <si>
    <t xml:space="preserve">มาตรวัดน้ำประปา </t>
  </si>
  <si>
    <t xml:space="preserve"> - WATER METER Ø 1 1/2"</t>
  </si>
  <si>
    <t xml:space="preserve"> - GATE VALVE Ø 1 1/2"</t>
  </si>
  <si>
    <t xml:space="preserve"> - CHECK VALVE Ø 1 1/2"</t>
  </si>
  <si>
    <t xml:space="preserve"> - STRAINER Ø 1 1/2"</t>
  </si>
  <si>
    <t xml:space="preserve"> - UNION Ø 1 1/2"</t>
  </si>
  <si>
    <t xml:space="preserve"> - SUPPORT ค.ส.ล.</t>
  </si>
  <si>
    <t>GATE VALVE</t>
  </si>
  <si>
    <t xml:space="preserve"> - Ø 1 1/2" w/ หีบกุญแจสำเร็จรูป</t>
  </si>
  <si>
    <t>MODULATING FLOAT VALVE</t>
  </si>
  <si>
    <t xml:space="preserve"> BY PASS (ต่อ)</t>
  </si>
  <si>
    <t xml:space="preserve"> - Gate Valve Ø 1 1/2"</t>
  </si>
  <si>
    <t xml:space="preserve"> - Check Valve Ø 1 1/2"</t>
  </si>
  <si>
    <t>อุปกรณ์ประกอบชุด PACKGED BOOSTER PUMP SET</t>
  </si>
  <si>
    <t xml:space="preserve"> - ถังอัดแรงดันชนิดไดอะแฟรม ปริมาตรถังไม่น้อยกว่า 500 ลิตร/ถัง</t>
  </si>
  <si>
    <t xml:space="preserve"> (ตามรายการประกอบแบบ)</t>
  </si>
  <si>
    <t xml:space="preserve"> - Gate Valve Ø 1 1/2"(ปกติปิด)</t>
  </si>
  <si>
    <t xml:space="preserve"> - Gate Valve Ø 2"</t>
  </si>
  <si>
    <t xml:space="preserve"> - Gate Valve Ø 2 1/2"</t>
  </si>
  <si>
    <t xml:space="preserve"> - Check Valve Ø 2"</t>
  </si>
  <si>
    <t xml:space="preserve"> - ท่อประกอบชุด PACKGED BOOSTER PUMP+อื่นๆ</t>
  </si>
  <si>
    <t xml:space="preserve"> - แท่น ค.ส.ล. รองรับ </t>
  </si>
  <si>
    <t xml:space="preserve"> - ฐานรองรับถังเก็บน้ำขนาดความจุ 25 ลบ.ม.+รัดฝาถัง (MEDIUM DUTY)</t>
  </si>
  <si>
    <t>ถังดับเพลิง</t>
  </si>
  <si>
    <t xml:space="preserve"> - ถังดับเพลิงเคมีแห้ง ชนิด ABC อัตราการดับไฟ 6A:20B ขนาด 15 ปอนด์</t>
  </si>
  <si>
    <t>พร้อมติดตั้ง (ตามรายการประกอบแบบ)</t>
  </si>
  <si>
    <t>งานระบบสุขาภิบาลภายใน</t>
  </si>
  <si>
    <t xml:space="preserve"> ท่อโสโครก </t>
  </si>
  <si>
    <t>PVC 8.5</t>
  </si>
  <si>
    <t xml:space="preserve"> - Ø 2" </t>
  </si>
  <si>
    <t xml:space="preserve"> - Ø 3" </t>
  </si>
  <si>
    <t xml:space="preserve"> - Ø 4" </t>
  </si>
  <si>
    <t xml:space="preserve"> - Ø 6" </t>
  </si>
  <si>
    <t xml:space="preserve"> FLOOR CLEAN OUT</t>
  </si>
  <si>
    <t xml:space="preserve"> - Ø 4"</t>
  </si>
  <si>
    <t>FLEXIBLE CONNECTION</t>
  </si>
  <si>
    <t xml:space="preserve"> ชุดถังบำบัด </t>
  </si>
  <si>
    <t xml:space="preserve"> - ถังบำบัดน้ำเสียสำเร็จรูป แบบที่ 6 (80 คน)</t>
  </si>
  <si>
    <t>ราคาเต็ม 341,330-30%</t>
  </si>
  <si>
    <t xml:space="preserve"> - ฐาน ค.ส.ล.รองรับ+รัดฝาถัง (MEDIUM DUTY)</t>
  </si>
  <si>
    <t>ฐาน</t>
  </si>
  <si>
    <t xml:space="preserve"> ท่อน้ำทิ้ง </t>
  </si>
  <si>
    <t xml:space="preserve"> PVC 8.5</t>
  </si>
  <si>
    <t xml:space="preserve"> - Ø 2 1/2" </t>
  </si>
  <si>
    <t xml:space="preserve"> FLOOR DRAIN</t>
  </si>
  <si>
    <t xml:space="preserve"> P-TRAP</t>
  </si>
  <si>
    <t>บ่อดักไขมัน</t>
  </si>
  <si>
    <t xml:space="preserve"> - บ่อดักไขมัน (ตามรายการประกอบแบบ)</t>
  </si>
  <si>
    <t>บ่อดักขยะ</t>
  </si>
  <si>
    <t xml:space="preserve"> - บ่อดักขยะ (ตามรายการประกอบแบบ)</t>
  </si>
  <si>
    <t xml:space="preserve"> ท่ออากาศ</t>
  </si>
  <si>
    <t xml:space="preserve"> - ดินขุดกลบคืน</t>
  </si>
  <si>
    <t xml:space="preserve"> - ทรายหยาบอัดแน่น</t>
  </si>
  <si>
    <t>&gt;&gt;ปป ภายใน</t>
  </si>
  <si>
    <t>งานประปาภายนอก</t>
  </si>
  <si>
    <t xml:space="preserve"> - Ø 110 mm.</t>
  </si>
  <si>
    <t xml:space="preserve"> ท่อ SLEEVE  (SP)</t>
  </si>
  <si>
    <t xml:space="preserve"> - Ø 6" (ใช้วิธีดันลอด ท่อยาวประมาณ 6 m.)</t>
  </si>
  <si>
    <t>(ถ้าต้องมี Sheet pile +27000)</t>
  </si>
  <si>
    <t xml:space="preserve"> - Ø 4" w/ หีบกุญแจสำเร็จรูป</t>
  </si>
  <si>
    <t>งานระบบดับเพลิง</t>
  </si>
  <si>
    <t xml:space="preserve"> หัวดับเพลิง (ตามรายการประกอบแบบ)</t>
  </si>
  <si>
    <t xml:space="preserve"> - ท่อ GSP Ø 4"</t>
  </si>
  <si>
    <t xml:space="preserve"> - ท่อ HDPE Ø 110 mm.</t>
  </si>
  <si>
    <t xml:space="preserve"> - FIRE HYDRANT Ø 4"x4"x4" พร้อมข้อต่อต่อสวมเร็ว ฝาปิดและโซ่คล้อง</t>
  </si>
  <si>
    <t xml:space="preserve"> - SURFACE BOX</t>
  </si>
  <si>
    <t xml:space="preserve"> - หลอดกันดิน</t>
  </si>
  <si>
    <t xml:space="preserve"> - Ø 4" GATE VALVE NON-RISING STEM</t>
  </si>
  <si>
    <t>ราคาเต็ม 32000-20%</t>
  </si>
  <si>
    <t xml:space="preserve"> - ท่อโค้งตีนเป็ด 90° x 100 mm.</t>
  </si>
  <si>
    <t xml:space="preserve"> - ท่อสั้นหน้าจานคู่ Ø 4"</t>
  </si>
  <si>
    <t xml:space="preserve"> - แท่น ค.ส.ล. ขนาด 0.50×1.0.×0.1 m.เสริมเหล็ก Ø 9 mm.@ 0.15 m.</t>
  </si>
  <si>
    <t xml:space="preserve"> - แท่น ค.ส.ล.ขนาด 0.40×0.40×0.15 m.เสริมเหล็ก Ø 9 mm.@ 0.15 m.</t>
  </si>
  <si>
    <t xml:space="preserve"> - แท่น ค.ส.ล. รองรับประตูน้ำ เสริมเหล็ก Ø 9 mm.@ 0.15 m.</t>
  </si>
  <si>
    <t xml:space="preserve"> - ตัดบรรจบ</t>
  </si>
  <si>
    <t xml:space="preserve"> - ดินขุด กลบคืน</t>
  </si>
  <si>
    <t xml:space="preserve"> - ทรายหยาบ อัดแน่น</t>
  </si>
  <si>
    <t>งานระบายน้ำภายนอก</t>
  </si>
  <si>
    <t>รางระบายน้ำ</t>
  </si>
  <si>
    <t xml:space="preserve"> - รางระบายน้ำ ค.ส.ล. ขนาดกว้างภายใน 0.20 ม. ฝา D2 (ตามแบบ)</t>
  </si>
  <si>
    <t xml:space="preserve"> - รางระบายน้ำดินขุด (ตามรายการประกอบแบบ)</t>
  </si>
  <si>
    <t xml:space="preserve"> - ท่อ ค.ส.ล. ขนาด 0.30 m. (ความยาวประมาณ 5 m./จุด) </t>
  </si>
  <si>
    <t>พร้อมกำแพงกันน้ำเซาะที่ปลายท่อ จำนวน 3 ชุด (ตามรายการประกอบแบบ)</t>
  </si>
  <si>
    <t xml:space="preserve"> บ่อพักน้ำ</t>
  </si>
  <si>
    <t xml:space="preserve"> บ่อพักน้ำ ค.ส.ล. ฝาคอนกรีต</t>
  </si>
  <si>
    <t xml:space="preserve"> - MH 3</t>
  </si>
  <si>
    <t>&gt;&gt;ปป ภายนอก</t>
  </si>
  <si>
    <t>เครื่องสูบน้ำ</t>
  </si>
  <si>
    <t xml:space="preserve"> - เครื่องสูบน้ำ BOOSTER PUMP 1 ชุด ประกอบด้วย เครื่องสูบน้ำ (PUMP)</t>
  </si>
  <si>
    <t>จำนวน 2 ตัว พร้อมตู้ควบคุมไฟฟ้า</t>
  </si>
  <si>
    <t>อัตราการสูบจ่ายไม่น้อยกว่า 10 ลบ./ม. ต่อชั่วโมง ที่ TDH 20 ม.</t>
  </si>
  <si>
    <t xml:space="preserve">ขับด้วยมอเตอร์ไฟฟ้า (TEFC) ขนาดไม่น้อยกว่า 2.2 กิโลวัตต์ </t>
  </si>
  <si>
    <t>(รายละเอียดตามรายการประกอบแบบ)</t>
  </si>
  <si>
    <t>ถังเก็บน้ำ (ใต้ดิน)</t>
  </si>
  <si>
    <t xml:space="preserve"> - ถังเก็บน้ำสำเร็จรูป (ไฟเบอร์กลาสเสริมแรง) ขนาดความจุไม่น้อยกว่า -</t>
  </si>
  <si>
    <t>ราคาเต็ม 223630-30%</t>
  </si>
  <si>
    <t xml:space="preserve">25 ลบ.ม. </t>
  </si>
  <si>
    <t>&gt;&gt;ครุภัณฑ์</t>
  </si>
  <si>
    <t>ครุภัณฑ์ประปา</t>
  </si>
  <si>
    <t>62-2-107,62-4-029,62-5-045,35-2-062</t>
  </si>
  <si>
    <t>35-2-062,62-2-107</t>
  </si>
  <si>
    <t>62-2-107</t>
  </si>
  <si>
    <t>62-5-045</t>
  </si>
  <si>
    <t>62-4-029</t>
  </si>
  <si>
    <t>งานจ้างก่อสร้างโรงเลี้ยง ศฝ.สอ.รฝ. ขนาด 500 คน จำนวน 1 หลัง</t>
  </si>
  <si>
    <t>งานก่อสร้างโรงเลี้ยง ศฝ.สอ.รฝ. ขนาด 500 คน</t>
  </si>
  <si>
    <t>งานโรงเลี้ยง 500 คน</t>
  </si>
  <si>
    <t xml:space="preserve"> - SAWED  JOIND หยอดรอยต่อด้วยแอสฟัลท์ผสมทราย</t>
  </si>
  <si>
    <t>คณะกรรมการกำหนดราคากลาง</t>
  </si>
  <si>
    <t>น.อ.หญิง</t>
  </si>
  <si>
    <t>น.ท.</t>
  </si>
  <si>
    <t>ร.อ.หญิง</t>
  </si>
  <si>
    <t>ประธานกรรมการ</t>
  </si>
  <si>
    <t>กรรมการ</t>
  </si>
  <si>
    <t>กรรมการและเลขานุการ</t>
  </si>
  <si>
    <t>ประภาศรี  ตั้งจิตรเจริญ</t>
  </si>
  <si>
    <t>อนวัช  วรรณศรี</t>
  </si>
  <si>
    <t>พัทธยากร  ด้วงอ่ำ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</si>
</sst>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#,##0.\-"/>
    <numFmt numFmtId="189" formatCode="_(* #,##0_);_(* \(#,##0\);_(* &quot;-&quot;??_);_(@_)"/>
    <numFmt numFmtId="190" formatCode="_-* #,##0_-;\-* #,##0_-;_-* &quot;-&quot;??_-;_-@_-"/>
    <numFmt numFmtId="191" formatCode="0.0%"/>
    <numFmt numFmtId="192" formatCode="0.0000"/>
    <numFmt numFmtId="193" formatCode="#,##0.0000.\-"/>
    <numFmt numFmtId="194" formatCode="#,###.\-"/>
    <numFmt numFmtId="195" formatCode="0.000%"/>
    <numFmt numFmtId="196" formatCode="[$-107041E]\ mmmm\ yy;@"/>
    <numFmt numFmtId="197" formatCode="#,###\ &quot; แผ่น &quot;"/>
    <numFmt numFmtId="198" formatCode="&quot;แบบ ปร.4 และ ปร.5 ที่แนบ มีจำนวน    &quot;#,###&quot;    แผ่น &quot;"/>
    <numFmt numFmtId="199" formatCode="&quot;มีจำนวน &quot;#,###&quot; แผ่น&quot;"/>
    <numFmt numFmtId="200" formatCode="&quot;&gt; &quot;#,###"/>
    <numFmt numFmtId="201" formatCode="\-"/>
    <numFmt numFmtId="202" formatCode="#,###"/>
    <numFmt numFmtId="203" formatCode="_(* #,##0.0_);_(* \(#,##0.0\);_(* &quot;-&quot;??_);_(@_)"/>
    <numFmt numFmtId="204" formatCode="_-* #,##0.0_-;\-* #,##0.0_-;_-* &quot;-&quot;?_-;_-@_-"/>
    <numFmt numFmtId="205" formatCode="#,##0.000"/>
    <numFmt numFmtId="206" formatCode="#,###\-"/>
  </numFmts>
  <fonts count="26">
    <font>
      <sz val="14"/>
      <name val="CordiaUPC"/>
    </font>
    <font>
      <sz val="14"/>
      <name val="CordiaUPC"/>
      <family val="2"/>
      <charset val="222"/>
    </font>
    <font>
      <sz val="14"/>
      <name val="Cordia New"/>
      <family val="2"/>
    </font>
    <font>
      <sz val="8"/>
      <name val="CordiaUPC"/>
      <family val="2"/>
      <charset val="222"/>
    </font>
    <font>
      <sz val="14"/>
      <name val="TH SarabunPSK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4"/>
      <name val="CordiaUPC"/>
      <family val="2"/>
    </font>
    <font>
      <sz val="16"/>
      <name val="CordiaUPC"/>
      <family val="2"/>
    </font>
    <font>
      <b/>
      <sz val="16"/>
      <color rgb="FF0000FF"/>
      <name val="CordiaUPC"/>
      <family val="2"/>
    </font>
    <font>
      <sz val="14"/>
      <name val="CordiaUPC"/>
      <family val="2"/>
    </font>
    <font>
      <sz val="14"/>
      <color rgb="FFFF0000"/>
      <name val="CordiaUPC"/>
      <family val="2"/>
    </font>
    <font>
      <sz val="14"/>
      <color rgb="FF0000FF"/>
      <name val="CordiaUPC"/>
      <family val="2"/>
    </font>
    <font>
      <b/>
      <sz val="18"/>
      <color rgb="FF0000FF"/>
      <name val="CordiaUPC"/>
      <family val="2"/>
    </font>
    <font>
      <b/>
      <sz val="9"/>
      <color indexed="81"/>
      <name val="Tahoma"/>
      <family val="2"/>
    </font>
    <font>
      <b/>
      <sz val="20"/>
      <color rgb="FF0000FF"/>
      <name val="CordiaUPC"/>
      <family val="2"/>
    </font>
    <font>
      <sz val="12"/>
      <color theme="3" tint="0.39997558519241921"/>
      <name val="CordiaUPC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b/>
      <u/>
      <sz val="14"/>
      <name val="TH Sarabun New"/>
      <family val="2"/>
    </font>
    <font>
      <sz val="14"/>
      <name val="CordiaUPC"/>
      <family val="2"/>
    </font>
    <font>
      <sz val="16"/>
      <name val="TH SarabunPSK"/>
      <family val="2"/>
    </font>
    <font>
      <vertAlign val="superscript"/>
      <sz val="14"/>
      <name val="TH Sarabun New"/>
      <family val="2"/>
    </font>
    <font>
      <sz val="10"/>
      <name val="Arial"/>
      <family val="2"/>
    </font>
    <font>
      <b/>
      <sz val="14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AFEE9"/>
        <bgColor indexed="64"/>
      </patternFill>
    </fill>
    <fill>
      <patternFill patternType="solid">
        <fgColor rgb="FFFCE3E0"/>
        <bgColor indexed="64"/>
      </patternFill>
    </fill>
    <fill>
      <patternFill patternType="solid">
        <fgColor rgb="FFBAFBB7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/>
      <bottom style="thick">
        <color rgb="FF0099FF"/>
      </bottom>
      <diagonal/>
    </border>
    <border>
      <left/>
      <right/>
      <top/>
      <bottom style="thick">
        <color rgb="FF0099FF"/>
      </bottom>
      <diagonal/>
    </border>
    <border>
      <left/>
      <right style="thick">
        <color rgb="FF0099FF"/>
      </right>
      <top/>
      <bottom style="thick">
        <color rgb="FF0099FF"/>
      </bottom>
      <diagonal/>
    </border>
    <border>
      <left style="thick">
        <color rgb="FF0099FF"/>
      </left>
      <right/>
      <top style="thick">
        <color rgb="FF0099FF"/>
      </top>
      <bottom style="thick">
        <color rgb="FF0099FF"/>
      </bottom>
      <diagonal/>
    </border>
    <border>
      <left/>
      <right/>
      <top style="thick">
        <color rgb="FF0099FF"/>
      </top>
      <bottom style="thick">
        <color rgb="FF0099FF"/>
      </bottom>
      <diagonal/>
    </border>
    <border>
      <left/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n">
        <color indexed="64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/>
      <right/>
      <top style="medium">
        <color theme="1" tint="0.34998626667073579"/>
      </top>
      <bottom style="hair">
        <color indexed="64"/>
      </bottom>
      <diagonal/>
    </border>
    <border>
      <left/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medium">
        <color theme="1" tint="0.34998626667073579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/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/>
      <right/>
      <top style="hair">
        <color indexed="64"/>
      </top>
      <bottom style="medium">
        <color theme="1" tint="0.34998626667073579"/>
      </bottom>
      <diagonal/>
    </border>
    <border>
      <left/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medium">
        <color theme="1" tint="0.34998626667073579"/>
      </bottom>
      <diagonal/>
    </border>
    <border>
      <left style="thick">
        <color rgb="FF0099FF"/>
      </left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/>
      <bottom/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34998626667073579"/>
      </bottom>
      <diagonal/>
    </border>
  </borders>
  <cellStyleXfs count="12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8" fillId="0" borderId="0"/>
    <xf numFmtId="43" fontId="24" fillId="0" borderId="0" applyFont="0" applyFill="0" applyBorder="0" applyAlignment="0" applyProtection="0"/>
  </cellStyleXfs>
  <cellXfs count="5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quotePrefix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89" fontId="5" fillId="0" borderId="3" xfId="1" applyNumberFormat="1" applyFont="1" applyBorder="1" applyAlignment="1">
      <alignment horizontal="center" vertical="center"/>
    </xf>
    <xf numFmtId="194" fontId="5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89" fontId="0" fillId="0" borderId="0" xfId="1" applyNumberFormat="1" applyFont="1"/>
    <xf numFmtId="189" fontId="0" fillId="0" borderId="0" xfId="0" applyNumberFormat="1"/>
    <xf numFmtId="195" fontId="0" fillId="0" borderId="0" xfId="6" applyNumberFormat="1" applyFont="1"/>
    <xf numFmtId="195" fontId="12" fillId="0" borderId="0" xfId="6" applyNumberFormat="1" applyFont="1"/>
    <xf numFmtId="9" fontId="13" fillId="0" borderId="0" xfId="6" applyFont="1"/>
    <xf numFmtId="191" fontId="14" fillId="8" borderId="0" xfId="0" applyNumberFormat="1" applyFont="1" applyFill="1"/>
    <xf numFmtId="189" fontId="0" fillId="8" borderId="0" xfId="1" applyNumberFormat="1" applyFont="1" applyFill="1"/>
    <xf numFmtId="3" fontId="7" fillId="8" borderId="1" xfId="0" applyNumberFormat="1" applyFont="1" applyFill="1" applyBorder="1" applyAlignment="1">
      <alignment vertical="center"/>
    </xf>
    <xf numFmtId="3" fontId="5" fillId="8" borderId="1" xfId="0" applyNumberFormat="1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vertical="center"/>
    </xf>
    <xf numFmtId="0" fontId="5" fillId="8" borderId="1" xfId="0" quotePrefix="1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4" borderId="51" xfId="0" applyFont="1" applyFill="1" applyBorder="1" applyAlignment="1">
      <alignment horizontal="center" vertical="center"/>
    </xf>
    <xf numFmtId="0" fontId="9" fillId="4" borderId="52" xfId="0" applyFont="1" applyFill="1" applyBorder="1" applyAlignment="1">
      <alignment horizontal="center" vertical="center"/>
    </xf>
    <xf numFmtId="200" fontId="9" fillId="4" borderId="44" xfId="0" applyNumberFormat="1" applyFont="1" applyFill="1" applyBorder="1" applyAlignment="1">
      <alignment horizontal="center" vertical="center"/>
    </xf>
    <xf numFmtId="9" fontId="10" fillId="8" borderId="37" xfId="5" applyFont="1" applyFill="1" applyBorder="1" applyAlignment="1">
      <alignment horizontal="center" vertical="center"/>
    </xf>
    <xf numFmtId="9" fontId="10" fillId="8" borderId="10" xfId="5" applyFont="1" applyFill="1" applyBorder="1" applyAlignment="1">
      <alignment horizontal="center" vertical="center"/>
    </xf>
    <xf numFmtId="9" fontId="10" fillId="8" borderId="38" xfId="5" applyFont="1" applyFill="1" applyBorder="1" applyAlignment="1">
      <alignment horizontal="center" vertical="center"/>
    </xf>
    <xf numFmtId="0" fontId="9" fillId="10" borderId="36" xfId="0" applyFont="1" applyFill="1" applyBorder="1" applyAlignment="1">
      <alignment horizontal="center" vertical="center"/>
    </xf>
    <xf numFmtId="192" fontId="9" fillId="11" borderId="39" xfId="0" applyNumberFormat="1" applyFont="1" applyFill="1" applyBorder="1" applyAlignment="1">
      <alignment horizontal="center" vertical="center"/>
    </xf>
    <xf numFmtId="192" fontId="9" fillId="12" borderId="3" xfId="0" applyNumberFormat="1" applyFont="1" applyFill="1" applyBorder="1" applyAlignment="1">
      <alignment horizontal="center" vertical="center"/>
    </xf>
    <xf numFmtId="192" fontId="9" fillId="13" borderId="3" xfId="0" applyNumberFormat="1" applyFont="1" applyFill="1" applyBorder="1" applyAlignment="1">
      <alignment horizontal="center" vertical="center"/>
    </xf>
    <xf numFmtId="192" fontId="9" fillId="13" borderId="42" xfId="0" applyNumberFormat="1" applyFont="1" applyFill="1" applyBorder="1" applyAlignment="1">
      <alignment horizontal="center" vertical="center"/>
    </xf>
    <xf numFmtId="192" fontId="9" fillId="14" borderId="40" xfId="0" applyNumberFormat="1" applyFont="1" applyFill="1" applyBorder="1" applyAlignment="1">
      <alignment horizontal="center" vertical="center"/>
    </xf>
    <xf numFmtId="0" fontId="9" fillId="14" borderId="43" xfId="0" applyFont="1" applyFill="1" applyBorder="1" applyAlignment="1">
      <alignment horizontal="center" vertical="center"/>
    </xf>
    <xf numFmtId="9" fontId="10" fillId="8" borderId="12" xfId="5" applyFont="1" applyFill="1" applyBorder="1" applyAlignment="1">
      <alignment horizontal="center" vertical="center"/>
    </xf>
    <xf numFmtId="192" fontId="9" fillId="12" borderId="5" xfId="0" applyNumberFormat="1" applyFont="1" applyFill="1" applyBorder="1" applyAlignment="1">
      <alignment horizontal="center" vertical="center"/>
    </xf>
    <xf numFmtId="9" fontId="10" fillId="8" borderId="51" xfId="5" applyFont="1" applyFill="1" applyBorder="1" applyAlignment="1">
      <alignment horizontal="center" vertical="center"/>
    </xf>
    <xf numFmtId="192" fontId="9" fillId="11" borderId="5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92" fontId="9" fillId="11" borderId="41" xfId="0" applyNumberFormat="1" applyFont="1" applyFill="1" applyBorder="1" applyAlignment="1">
      <alignment horizontal="center" vertical="center"/>
    </xf>
    <xf numFmtId="192" fontId="9" fillId="12" borderId="42" xfId="0" applyNumberFormat="1" applyFont="1" applyFill="1" applyBorder="1" applyAlignment="1">
      <alignment horizontal="center" vertical="center"/>
    </xf>
    <xf numFmtId="192" fontId="9" fillId="11" borderId="44" xfId="0" applyNumberFormat="1" applyFont="1" applyFill="1" applyBorder="1" applyAlignment="1">
      <alignment horizontal="center" vertical="center"/>
    </xf>
    <xf numFmtId="192" fontId="9" fillId="12" borderId="53" xfId="0" applyNumberFormat="1" applyFont="1" applyFill="1" applyBorder="1" applyAlignment="1">
      <alignment horizontal="center" vertical="center"/>
    </xf>
    <xf numFmtId="192" fontId="9" fillId="14" borderId="43" xfId="0" applyNumberFormat="1" applyFont="1" applyFill="1" applyBorder="1" applyAlignment="1">
      <alignment horizontal="center" vertical="center"/>
    </xf>
    <xf numFmtId="9" fontId="10" fillId="8" borderId="69" xfId="5" applyFont="1" applyFill="1" applyBorder="1" applyAlignment="1">
      <alignment horizontal="center" vertical="center"/>
    </xf>
    <xf numFmtId="9" fontId="16" fillId="8" borderId="48" xfId="6" applyFont="1" applyFill="1" applyBorder="1" applyAlignment="1">
      <alignment vertical="center"/>
    </xf>
    <xf numFmtId="9" fontId="16" fillId="8" borderId="49" xfId="6" applyFont="1" applyFill="1" applyBorder="1" applyAlignment="1">
      <alignment vertical="center"/>
    </xf>
    <xf numFmtId="9" fontId="16" fillId="8" borderId="50" xfId="6" applyFont="1" applyFill="1" applyBorder="1" applyAlignment="1">
      <alignment vertical="center"/>
    </xf>
    <xf numFmtId="9" fontId="10" fillId="8" borderId="48" xfId="6" applyFont="1" applyFill="1" applyBorder="1" applyAlignment="1">
      <alignment vertical="center"/>
    </xf>
    <xf numFmtId="9" fontId="10" fillId="8" borderId="49" xfId="6" applyFont="1" applyFill="1" applyBorder="1" applyAlignment="1">
      <alignment vertical="center"/>
    </xf>
    <xf numFmtId="9" fontId="10" fillId="8" borderId="50" xfId="6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/>
    <xf numFmtId="188" fontId="5" fillId="0" borderId="3" xfId="1" applyNumberFormat="1" applyFont="1" applyFill="1" applyBorder="1" applyAlignment="1">
      <alignment horizontal="right"/>
    </xf>
    <xf numFmtId="0" fontId="5" fillId="0" borderId="0" xfId="0" applyFont="1"/>
    <xf numFmtId="3" fontId="5" fillId="0" borderId="3" xfId="1" applyNumberFormat="1" applyFont="1" applyFill="1" applyBorder="1" applyAlignment="1">
      <alignment horizontal="center"/>
    </xf>
    <xf numFmtId="189" fontId="5" fillId="0" borderId="0" xfId="0" applyNumberFormat="1" applyFont="1" applyFill="1" applyAlignment="1">
      <alignment vertical="center"/>
    </xf>
    <xf numFmtId="188" fontId="5" fillId="0" borderId="3" xfId="1" applyNumberFormat="1" applyFont="1" applyFill="1" applyBorder="1"/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3" fontId="5" fillId="0" borderId="3" xfId="4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88" fontId="5" fillId="0" borderId="3" xfId="4" applyNumberFormat="1" applyFont="1" applyFill="1" applyBorder="1" applyAlignment="1">
      <alignment horizontal="right"/>
    </xf>
    <xf numFmtId="188" fontId="5" fillId="0" borderId="3" xfId="4" applyNumberFormat="1" applyFont="1" applyFill="1" applyBorder="1"/>
    <xf numFmtId="188" fontId="5" fillId="0" borderId="5" xfId="4" applyNumberFormat="1" applyFont="1" applyFill="1" applyBorder="1"/>
    <xf numFmtId="0" fontId="5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/>
    </xf>
    <xf numFmtId="188" fontId="5" fillId="0" borderId="3" xfId="4" applyNumberFormat="1" applyFont="1" applyBorder="1"/>
    <xf numFmtId="188" fontId="5" fillId="0" borderId="10" xfId="4" applyNumberFormat="1" applyFont="1" applyBorder="1" applyAlignment="1">
      <alignment horizontal="center"/>
    </xf>
    <xf numFmtId="188" fontId="5" fillId="0" borderId="12" xfId="4" applyNumberFormat="1" applyFont="1" applyBorder="1" applyAlignment="1">
      <alignment horizontal="center"/>
    </xf>
    <xf numFmtId="188" fontId="5" fillId="0" borderId="5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188" fontId="5" fillId="0" borderId="3" xfId="4" applyNumberFormat="1" applyFont="1" applyFill="1" applyBorder="1" applyAlignment="1">
      <alignment horizontal="right" vertical="center"/>
    </xf>
    <xf numFmtId="0" fontId="19" fillId="0" borderId="3" xfId="0" applyFont="1" applyBorder="1" applyAlignment="1">
      <alignment vertical="center"/>
    </xf>
    <xf numFmtId="3" fontId="5" fillId="0" borderId="3" xfId="4" applyNumberFormat="1" applyFont="1" applyFill="1" applyBorder="1" applyAlignment="1">
      <alignment horizontal="center" vertical="center"/>
    </xf>
    <xf numFmtId="188" fontId="5" fillId="0" borderId="3" xfId="4" applyNumberFormat="1" applyFont="1" applyBorder="1" applyAlignment="1">
      <alignment horizontal="right"/>
    </xf>
    <xf numFmtId="188" fontId="5" fillId="0" borderId="71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188" fontId="5" fillId="0" borderId="3" xfId="4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/>
    </xf>
    <xf numFmtId="0" fontId="5" fillId="15" borderId="3" xfId="0" applyFont="1" applyFill="1" applyBorder="1"/>
    <xf numFmtId="188" fontId="5" fillId="15" borderId="5" xfId="0" applyNumberFormat="1" applyFont="1" applyFill="1" applyBorder="1"/>
    <xf numFmtId="188" fontId="5" fillId="15" borderId="3" xfId="4" applyNumberFormat="1" applyFont="1" applyFill="1" applyBorder="1" applyAlignment="1">
      <alignment horizontal="right" vertical="center"/>
    </xf>
    <xf numFmtId="188" fontId="5" fillId="15" borderId="5" xfId="0" applyNumberFormat="1" applyFont="1" applyFill="1" applyBorder="1" applyAlignment="1">
      <alignment vertical="center"/>
    </xf>
    <xf numFmtId="188" fontId="5" fillId="15" borderId="3" xfId="8" applyNumberFormat="1" applyFont="1" applyFill="1" applyBorder="1"/>
    <xf numFmtId="0" fontId="7" fillId="0" borderId="3" xfId="0" applyFont="1" applyFill="1" applyBorder="1"/>
    <xf numFmtId="0" fontId="5" fillId="15" borderId="3" xfId="0" applyFont="1" applyFill="1" applyBorder="1" applyAlignment="1">
      <alignment vertical="center"/>
    </xf>
    <xf numFmtId="0" fontId="5" fillId="0" borderId="5" xfId="0" applyFont="1" applyBorder="1" applyAlignment="1">
      <alignment horizontal="center"/>
    </xf>
    <xf numFmtId="188" fontId="5" fillId="0" borderId="5" xfId="4" applyNumberFormat="1" applyFont="1" applyBorder="1"/>
    <xf numFmtId="0" fontId="5" fillId="0" borderId="6" xfId="0" applyFont="1" applyFill="1" applyBorder="1"/>
    <xf numFmtId="0" fontId="5" fillId="0" borderId="3" xfId="0" applyFont="1" applyBorder="1"/>
    <xf numFmtId="0" fontId="5" fillId="0" borderId="3" xfId="0" applyFont="1" applyBorder="1" applyAlignment="1">
      <alignment horizontal="center" vertical="center"/>
    </xf>
    <xf numFmtId="189" fontId="7" fillId="0" borderId="10" xfId="1" applyNumberFormat="1" applyFont="1" applyFill="1" applyBorder="1" applyAlignment="1">
      <alignment horizontal="center" vertical="center"/>
    </xf>
    <xf numFmtId="188" fontId="7" fillId="0" borderId="10" xfId="1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88" fontId="5" fillId="0" borderId="5" xfId="0" applyNumberFormat="1" applyFont="1" applyFill="1" applyBorder="1"/>
    <xf numFmtId="188" fontId="5" fillId="0" borderId="3" xfId="1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188" fontId="5" fillId="8" borderId="3" xfId="1" applyNumberFormat="1" applyFont="1" applyFill="1" applyBorder="1" applyAlignment="1">
      <alignment horizontal="right"/>
    </xf>
    <xf numFmtId="189" fontId="5" fillId="0" borderId="5" xfId="1" applyNumberFormat="1" applyFont="1" applyFill="1" applyBorder="1"/>
    <xf numFmtId="189" fontId="7" fillId="8" borderId="3" xfId="1" applyNumberFormat="1" applyFont="1" applyFill="1" applyBorder="1" applyAlignment="1">
      <alignment vertical="center"/>
    </xf>
    <xf numFmtId="3" fontId="5" fillId="0" borderId="3" xfId="1" applyNumberFormat="1" applyFont="1" applyFill="1" applyBorder="1" applyAlignment="1">
      <alignment horizontal="center" vertical="center"/>
    </xf>
    <xf numFmtId="188" fontId="5" fillId="15" borderId="3" xfId="1" applyNumberFormat="1" applyFont="1" applyFill="1" applyBorder="1" applyAlignment="1">
      <alignment horizontal="right" vertical="center"/>
    </xf>
    <xf numFmtId="0" fontId="5" fillId="15" borderId="3" xfId="0" applyFont="1" applyFill="1" applyBorder="1" applyAlignment="1">
      <alignment horizontal="center" vertical="center"/>
    </xf>
    <xf numFmtId="188" fontId="5" fillId="0" borderId="3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188" fontId="5" fillId="15" borderId="6" xfId="1" applyNumberFormat="1" applyFont="1" applyFill="1" applyBorder="1" applyAlignment="1">
      <alignment horizontal="right" vertical="center"/>
    </xf>
    <xf numFmtId="188" fontId="5" fillId="15" borderId="71" xfId="0" applyNumberFormat="1" applyFont="1" applyFill="1" applyBorder="1" applyAlignment="1">
      <alignment vertical="center"/>
    </xf>
    <xf numFmtId="188" fontId="5" fillId="15" borderId="5" xfId="4" applyNumberFormat="1" applyFont="1" applyFill="1" applyBorder="1" applyAlignment="1">
      <alignment horizontal="right" vertical="center"/>
    </xf>
    <xf numFmtId="188" fontId="5" fillId="0" borderId="3" xfId="1" applyNumberFormat="1" applyFont="1" applyFill="1" applyBorder="1" applyAlignment="1">
      <alignment horizontal="center"/>
    </xf>
    <xf numFmtId="188" fontId="5" fillId="0" borderId="6" xfId="1" applyNumberFormat="1" applyFont="1" applyFill="1" applyBorder="1" applyAlignment="1">
      <alignment horizontal="right" vertical="center"/>
    </xf>
    <xf numFmtId="0" fontId="7" fillId="8" borderId="10" xfId="0" applyFont="1" applyFill="1" applyBorder="1" applyAlignment="1">
      <alignment horizontal="center" vertical="center"/>
    </xf>
    <xf numFmtId="188" fontId="5" fillId="0" borderId="0" xfId="0" applyNumberFormat="1" applyFont="1" applyFill="1" applyAlignment="1">
      <alignment vertical="center"/>
    </xf>
    <xf numFmtId="203" fontId="5" fillId="0" borderId="0" xfId="1" applyNumberFormat="1" applyFont="1"/>
    <xf numFmtId="0" fontId="7" fillId="0" borderId="10" xfId="0" applyFont="1" applyFill="1" applyBorder="1" applyAlignment="1">
      <alignment horizontal="right" vertical="center"/>
    </xf>
    <xf numFmtId="0" fontId="7" fillId="15" borderId="3" xfId="0" applyFont="1" applyFill="1" applyBorder="1" applyAlignment="1">
      <alignment vertical="center"/>
    </xf>
    <xf numFmtId="194" fontId="5" fillId="8" borderId="5" xfId="1" applyNumberFormat="1" applyFont="1" applyFill="1" applyBorder="1" applyAlignment="1">
      <alignment horizontal="right" vertical="center"/>
    </xf>
    <xf numFmtId="188" fontId="18" fillId="15" borderId="3" xfId="1" applyNumberFormat="1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189" fontId="6" fillId="0" borderId="31" xfId="1" applyNumberFormat="1" applyFont="1" applyFill="1" applyBorder="1" applyAlignment="1">
      <alignment horizontal="center" vertical="center"/>
    </xf>
    <xf numFmtId="188" fontId="6" fillId="0" borderId="26" xfId="1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189" fontId="6" fillId="0" borderId="15" xfId="1" applyNumberFormat="1" applyFont="1" applyFill="1" applyBorder="1" applyAlignment="1">
      <alignment vertical="center"/>
    </xf>
    <xf numFmtId="188" fontId="18" fillId="0" borderId="15" xfId="1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18" fillId="0" borderId="3" xfId="0" applyFont="1" applyFill="1" applyBorder="1"/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Border="1"/>
    <xf numFmtId="0" fontId="18" fillId="0" borderId="0" xfId="0" applyFont="1"/>
    <xf numFmtId="3" fontId="18" fillId="0" borderId="3" xfId="1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188" fontId="18" fillId="0" borderId="3" xfId="1" applyNumberFormat="1" applyFont="1" applyFill="1" applyBorder="1" applyAlignment="1">
      <alignment horizontal="right"/>
    </xf>
    <xf numFmtId="0" fontId="18" fillId="0" borderId="3" xfId="0" applyFont="1" applyFill="1" applyBorder="1" applyAlignment="1">
      <alignment vertical="center"/>
    </xf>
    <xf numFmtId="188" fontId="18" fillId="0" borderId="3" xfId="1" applyNumberFormat="1" applyFont="1" applyFill="1" applyBorder="1"/>
    <xf numFmtId="3" fontId="18" fillId="0" borderId="3" xfId="0" applyNumberFormat="1" applyFont="1" applyFill="1" applyBorder="1" applyAlignment="1">
      <alignment horizontal="center"/>
    </xf>
    <xf numFmtId="189" fontId="18" fillId="0" borderId="0" xfId="0" applyNumberFormat="1" applyFont="1" applyFill="1" applyAlignment="1">
      <alignment vertical="center"/>
    </xf>
    <xf numFmtId="0" fontId="18" fillId="0" borderId="30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left" vertical="center" shrinkToFit="1"/>
    </xf>
    <xf numFmtId="0" fontId="5" fillId="0" borderId="30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188" fontId="5" fillId="0" borderId="15" xfId="1" applyNumberFormat="1" applyFont="1" applyFill="1" applyBorder="1" applyAlignment="1">
      <alignment horizontal="center" vertical="center"/>
    </xf>
    <xf numFmtId="188" fontId="5" fillId="0" borderId="17" xfId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Border="1"/>
    <xf numFmtId="0" fontId="5" fillId="3" borderId="0" xfId="0" applyFont="1" applyFill="1" applyBorder="1"/>
    <xf numFmtId="0" fontId="5" fillId="3" borderId="0" xfId="0" applyFont="1" applyFill="1"/>
    <xf numFmtId="188" fontId="5" fillId="0" borderId="0" xfId="0" applyNumberFormat="1" applyFont="1"/>
    <xf numFmtId="188" fontId="5" fillId="0" borderId="0" xfId="0" applyNumberFormat="1" applyFont="1" applyBorder="1"/>
    <xf numFmtId="0" fontId="7" fillId="0" borderId="0" xfId="0" applyFont="1" applyFill="1" applyAlignment="1">
      <alignment horizontal="center" vertical="center"/>
    </xf>
    <xf numFmtId="188" fontId="5" fillId="15" borderId="3" xfId="1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vertical="center"/>
    </xf>
    <xf numFmtId="188" fontId="5" fillId="0" borderId="6" xfId="0" applyNumberFormat="1" applyFont="1" applyFill="1" applyBorder="1"/>
    <xf numFmtId="4" fontId="5" fillId="0" borderId="3" xfId="4" applyNumberFormat="1" applyFont="1" applyBorder="1" applyAlignment="1">
      <alignment horizontal="center"/>
    </xf>
    <xf numFmtId="188" fontId="5" fillId="15" borderId="3" xfId="1" applyNumberFormat="1" applyFont="1" applyFill="1" applyBorder="1" applyAlignment="1">
      <alignment horizontal="right"/>
    </xf>
    <xf numFmtId="189" fontId="7" fillId="16" borderId="3" xfId="1" applyNumberFormat="1" applyFont="1" applyFill="1" applyBorder="1" applyAlignment="1">
      <alignment vertical="center"/>
    </xf>
    <xf numFmtId="0" fontId="20" fillId="0" borderId="3" xfId="0" applyFont="1" applyFill="1" applyBorder="1"/>
    <xf numFmtId="188" fontId="5" fillId="0" borderId="5" xfId="4" applyNumberFormat="1" applyFont="1" applyFill="1" applyBorder="1" applyAlignment="1"/>
    <xf numFmtId="189" fontId="7" fillId="17" borderId="3" xfId="1" applyNumberFormat="1" applyFont="1" applyFill="1" applyBorder="1" applyAlignment="1">
      <alignment vertical="center"/>
    </xf>
    <xf numFmtId="187" fontId="5" fillId="0" borderId="0" xfId="1" applyFont="1" applyFill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 applyAlignment="1">
      <alignment vertical="center"/>
    </xf>
    <xf numFmtId="188" fontId="5" fillId="0" borderId="1" xfId="1" applyNumberFormat="1" applyFont="1" applyBorder="1" applyAlignment="1">
      <alignment vertical="center"/>
    </xf>
    <xf numFmtId="197" fontId="5" fillId="0" borderId="1" xfId="0" applyNumberFormat="1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9" xfId="0" quotePrefix="1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188" fontId="5" fillId="0" borderId="8" xfId="1" applyNumberFormat="1" applyFont="1" applyBorder="1" applyAlignment="1">
      <alignment horizontal="right" vertical="center"/>
    </xf>
    <xf numFmtId="188" fontId="5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8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27" xfId="3" applyFont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192" fontId="5" fillId="0" borderId="8" xfId="3" applyNumberFormat="1" applyFont="1" applyBorder="1" applyAlignment="1">
      <alignment horizontal="center" vertical="center"/>
    </xf>
    <xf numFmtId="190" fontId="5" fillId="2" borderId="8" xfId="0" applyNumberFormat="1" applyFont="1" applyFill="1" applyBorder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79" xfId="3" applyFont="1" applyBorder="1" applyAlignment="1">
      <alignment vertical="center"/>
    </xf>
    <xf numFmtId="0" fontId="5" fillId="0" borderId="81" xfId="3" applyFont="1" applyBorder="1" applyAlignment="1">
      <alignment vertical="center"/>
    </xf>
    <xf numFmtId="0" fontId="5" fillId="0" borderId="66" xfId="3" applyFont="1" applyBorder="1" applyAlignment="1">
      <alignment vertical="center"/>
    </xf>
    <xf numFmtId="0" fontId="5" fillId="0" borderId="67" xfId="3" applyFont="1" applyBorder="1" applyAlignment="1">
      <alignment vertical="center"/>
    </xf>
    <xf numFmtId="0" fontId="5" fillId="0" borderId="79" xfId="3" applyFont="1" applyBorder="1" applyAlignment="1">
      <alignment horizontal="center" vertical="center"/>
    </xf>
    <xf numFmtId="9" fontId="5" fillId="2" borderId="79" xfId="3" applyNumberFormat="1" applyFont="1" applyFill="1" applyBorder="1" applyAlignment="1">
      <alignment horizontal="center" vertical="center"/>
    </xf>
    <xf numFmtId="191" fontId="5" fillId="0" borderId="79" xfId="3" applyNumberFormat="1" applyFont="1" applyBorder="1" applyAlignment="1">
      <alignment horizontal="right" vertical="center"/>
    </xf>
    <xf numFmtId="189" fontId="5" fillId="0" borderId="79" xfId="2" applyNumberFormat="1" applyFont="1" applyBorder="1" applyAlignment="1">
      <alignment vertical="center"/>
    </xf>
    <xf numFmtId="0" fontId="5" fillId="0" borderId="32" xfId="3" applyFont="1" applyBorder="1" applyAlignment="1">
      <alignment vertical="center"/>
    </xf>
    <xf numFmtId="0" fontId="5" fillId="0" borderId="80" xfId="0" applyFont="1" applyBorder="1" applyAlignment="1">
      <alignment horizontal="left" vertical="center"/>
    </xf>
    <xf numFmtId="0" fontId="5" fillId="0" borderId="35" xfId="3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88" fontId="5" fillId="0" borderId="32" xfId="1" applyNumberFormat="1" applyFont="1" applyBorder="1" applyAlignment="1">
      <alignment vertical="center"/>
    </xf>
    <xf numFmtId="0" fontId="5" fillId="0" borderId="32" xfId="1" applyNumberFormat="1" applyFont="1" applyBorder="1" applyAlignment="1">
      <alignment horizontal="center" vertical="center"/>
    </xf>
    <xf numFmtId="189" fontId="5" fillId="0" borderId="32" xfId="1" applyNumberFormat="1" applyFont="1" applyBorder="1" applyAlignment="1">
      <alignment vertical="center"/>
    </xf>
    <xf numFmtId="190" fontId="5" fillId="0" borderId="32" xfId="2" applyNumberFormat="1" applyFont="1" applyBorder="1" applyAlignment="1">
      <alignment vertical="center"/>
    </xf>
    <xf numFmtId="188" fontId="7" fillId="8" borderId="10" xfId="1" applyNumberFormat="1" applyFont="1" applyFill="1" applyBorder="1" applyAlignment="1">
      <alignment horizontal="right" vertical="center"/>
    </xf>
    <xf numFmtId="189" fontId="5" fillId="2" borderId="10" xfId="2" applyNumberFormat="1" applyFont="1" applyFill="1" applyBorder="1" applyAlignment="1">
      <alignment vertical="center"/>
    </xf>
    <xf numFmtId="0" fontId="7" fillId="0" borderId="0" xfId="3" applyFont="1" applyBorder="1" applyAlignment="1">
      <alignment horizontal="left" vertical="center"/>
    </xf>
    <xf numFmtId="0" fontId="7" fillId="0" borderId="0" xfId="3" applyFont="1" applyBorder="1" applyAlignment="1">
      <alignment vertical="center"/>
    </xf>
    <xf numFmtId="188" fontId="7" fillId="0" borderId="0" xfId="1" applyNumberFormat="1" applyFont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7" fillId="0" borderId="0" xfId="3" applyFont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8" fontId="5" fillId="0" borderId="0" xfId="1" applyNumberFormat="1" applyFont="1" applyBorder="1" applyAlignment="1">
      <alignment vertical="center"/>
    </xf>
    <xf numFmtId="196" fontId="5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93" fontId="5" fillId="0" borderId="8" xfId="1" applyNumberFormat="1" applyFont="1" applyBorder="1" applyAlignment="1">
      <alignment horizontal="center" vertical="center"/>
    </xf>
    <xf numFmtId="189" fontId="5" fillId="0" borderId="8" xfId="1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192" fontId="5" fillId="0" borderId="8" xfId="1" applyNumberFormat="1" applyFont="1" applyBorder="1" applyAlignment="1">
      <alignment horizontal="center" vertical="center"/>
    </xf>
    <xf numFmtId="0" fontId="5" fillId="0" borderId="54" xfId="3" applyFont="1" applyBorder="1" applyAlignment="1">
      <alignment horizontal="center" vertical="center"/>
    </xf>
    <xf numFmtId="0" fontId="5" fillId="0" borderId="55" xfId="3" applyFont="1" applyBorder="1" applyAlignment="1">
      <alignment horizontal="center" vertical="center"/>
    </xf>
    <xf numFmtId="0" fontId="5" fillId="0" borderId="56" xfId="3" applyFont="1" applyBorder="1" applyAlignment="1">
      <alignment horizontal="center" vertical="center"/>
    </xf>
    <xf numFmtId="188" fontId="5" fillId="0" borderId="57" xfId="1" applyNumberFormat="1" applyFont="1" applyBorder="1" applyAlignment="1">
      <alignment vertical="center"/>
    </xf>
    <xf numFmtId="0" fontId="5" fillId="0" borderId="24" xfId="3" applyFont="1" applyBorder="1" applyAlignment="1">
      <alignment vertical="center"/>
    </xf>
    <xf numFmtId="0" fontId="5" fillId="0" borderId="59" xfId="3" applyFont="1" applyBorder="1" applyAlignment="1">
      <alignment vertical="center"/>
    </xf>
    <xf numFmtId="0" fontId="5" fillId="0" borderId="60" xfId="3" applyFont="1" applyBorder="1" applyAlignment="1">
      <alignment vertical="center"/>
    </xf>
    <xf numFmtId="0" fontId="5" fillId="0" borderId="61" xfId="3" applyFont="1" applyBorder="1" applyAlignment="1">
      <alignment vertical="center"/>
    </xf>
    <xf numFmtId="0" fontId="5" fillId="0" borderId="62" xfId="3" applyFont="1" applyBorder="1" applyAlignment="1">
      <alignment horizontal="center" vertical="center"/>
    </xf>
    <xf numFmtId="9" fontId="5" fillId="2" borderId="22" xfId="3" applyNumberFormat="1" applyFont="1" applyFill="1" applyBorder="1" applyAlignment="1">
      <alignment horizontal="center" vertical="center"/>
    </xf>
    <xf numFmtId="191" fontId="5" fillId="0" borderId="8" xfId="3" applyNumberFormat="1" applyFont="1" applyBorder="1" applyAlignment="1">
      <alignment horizontal="right" vertical="center"/>
    </xf>
    <xf numFmtId="189" fontId="5" fillId="0" borderId="8" xfId="2" applyNumberFormat="1" applyFont="1" applyBorder="1" applyAlignment="1">
      <alignment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0" fontId="5" fillId="0" borderId="76" xfId="0" applyFont="1" applyBorder="1" applyAlignment="1" applyProtection="1">
      <alignment vertical="center"/>
    </xf>
    <xf numFmtId="0" fontId="5" fillId="0" borderId="63" xfId="3" applyFont="1" applyBorder="1" applyAlignment="1">
      <alignment vertical="center"/>
    </xf>
    <xf numFmtId="0" fontId="5" fillId="0" borderId="35" xfId="3" applyFont="1" applyBorder="1" applyAlignment="1">
      <alignment vertical="center"/>
    </xf>
    <xf numFmtId="0" fontId="5" fillId="0" borderId="34" xfId="3" applyFont="1" applyBorder="1" applyAlignment="1">
      <alignment vertical="center"/>
    </xf>
    <xf numFmtId="9" fontId="5" fillId="2" borderId="58" xfId="3" applyNumberFormat="1" applyFont="1" applyFill="1" applyBorder="1" applyAlignment="1">
      <alignment horizontal="center" vertical="center"/>
    </xf>
    <xf numFmtId="0" fontId="5" fillId="3" borderId="72" xfId="3" applyFont="1" applyFill="1" applyBorder="1" applyAlignment="1" applyProtection="1">
      <alignment horizontal="center" vertical="center"/>
    </xf>
    <xf numFmtId="0" fontId="5" fillId="3" borderId="3" xfId="3" applyFont="1" applyFill="1" applyBorder="1" applyAlignment="1" applyProtection="1">
      <alignment horizontal="center" vertical="center"/>
    </xf>
    <xf numFmtId="189" fontId="5" fillId="7" borderId="3" xfId="1" applyNumberFormat="1" applyFont="1" applyFill="1" applyBorder="1" applyAlignment="1" applyProtection="1">
      <alignment vertical="center"/>
    </xf>
    <xf numFmtId="192" fontId="5" fillId="7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9" fontId="5" fillId="0" borderId="3" xfId="0" applyNumberFormat="1" applyFont="1" applyBorder="1" applyAlignment="1" applyProtection="1">
      <alignment horizontal="center" vertical="center"/>
    </xf>
    <xf numFmtId="0" fontId="5" fillId="0" borderId="64" xfId="3" applyFont="1" applyBorder="1" applyAlignment="1">
      <alignment vertical="center"/>
    </xf>
    <xf numFmtId="0" fontId="5" fillId="0" borderId="27" xfId="3" applyFont="1" applyBorder="1" applyAlignment="1">
      <alignment vertical="center"/>
    </xf>
    <xf numFmtId="0" fontId="5" fillId="0" borderId="22" xfId="3" applyFont="1" applyBorder="1" applyAlignment="1">
      <alignment vertical="center"/>
    </xf>
    <xf numFmtId="9" fontId="5" fillId="0" borderId="8" xfId="3" applyNumberFormat="1" applyFont="1" applyBorder="1" applyAlignment="1">
      <alignment horizontal="right" vertical="center"/>
    </xf>
    <xf numFmtId="190" fontId="5" fillId="0" borderId="8" xfId="2" applyNumberFormat="1" applyFont="1" applyBorder="1" applyAlignment="1">
      <alignment vertical="center"/>
    </xf>
    <xf numFmtId="0" fontId="5" fillId="0" borderId="73" xfId="0" applyFont="1" applyBorder="1" applyAlignment="1">
      <alignment vertical="center"/>
    </xf>
    <xf numFmtId="0" fontId="5" fillId="3" borderId="74" xfId="0" applyFont="1" applyFill="1" applyBorder="1" applyAlignment="1" applyProtection="1">
      <alignment horizontal="center" vertical="center"/>
    </xf>
    <xf numFmtId="192" fontId="5" fillId="6" borderId="5" xfId="0" applyNumberFormat="1" applyFont="1" applyFill="1" applyBorder="1" applyAlignment="1" applyProtection="1">
      <alignment horizontal="center" vertical="center"/>
    </xf>
    <xf numFmtId="192" fontId="5" fillId="7" borderId="77" xfId="0" applyNumberFormat="1" applyFont="1" applyFill="1" applyBorder="1" applyAlignment="1" applyProtection="1">
      <alignment horizontal="center" vertical="center"/>
    </xf>
    <xf numFmtId="0" fontId="5" fillId="0" borderId="7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192" fontId="5" fillId="0" borderId="71" xfId="0" applyNumberFormat="1" applyFont="1" applyBorder="1" applyAlignment="1" applyProtection="1">
      <alignment horizontal="center" vertical="center"/>
    </xf>
    <xf numFmtId="0" fontId="5" fillId="5" borderId="75" xfId="0" applyFont="1" applyFill="1" applyBorder="1" applyAlignment="1" applyProtection="1">
      <alignment horizontal="center" vertical="center"/>
    </xf>
    <xf numFmtId="192" fontId="5" fillId="9" borderId="6" xfId="0" applyNumberFormat="1" applyFont="1" applyFill="1" applyBorder="1" applyAlignment="1" applyProtection="1">
      <alignment horizontal="right" vertical="center"/>
    </xf>
    <xf numFmtId="192" fontId="7" fillId="9" borderId="78" xfId="0" applyNumberFormat="1" applyFont="1" applyFill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25" xfId="3" applyFont="1" applyBorder="1" applyAlignment="1">
      <alignment vertical="center"/>
    </xf>
    <xf numFmtId="0" fontId="5" fillId="0" borderId="65" xfId="3" applyFont="1" applyBorder="1" applyAlignment="1">
      <alignment vertical="center"/>
    </xf>
    <xf numFmtId="9" fontId="5" fillId="2" borderId="68" xfId="3" applyNumberFormat="1" applyFont="1" applyFill="1" applyBorder="1" applyAlignment="1">
      <alignment horizontal="center" vertical="center"/>
    </xf>
    <xf numFmtId="9" fontId="5" fillId="2" borderId="23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vertical="center"/>
    </xf>
    <xf numFmtId="189" fontId="5" fillId="0" borderId="9" xfId="2" applyNumberFormat="1" applyFont="1" applyBorder="1" applyAlignment="1">
      <alignment vertical="center"/>
    </xf>
    <xf numFmtId="188" fontId="7" fillId="8" borderId="3" xfId="1" applyNumberFormat="1" applyFont="1" applyFill="1" applyBorder="1" applyAlignment="1">
      <alignment horizontal="right" vertical="center"/>
    </xf>
    <xf numFmtId="189" fontId="5" fillId="2" borderId="3" xfId="2" applyNumberFormat="1" applyFont="1" applyFill="1" applyBorder="1" applyAlignment="1">
      <alignment vertical="center"/>
    </xf>
    <xf numFmtId="192" fontId="5" fillId="0" borderId="0" xfId="0" applyNumberFormat="1" applyFont="1" applyAlignment="1">
      <alignment vertical="center"/>
    </xf>
    <xf numFmtId="188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9" fontId="5" fillId="0" borderId="1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left" vertical="center"/>
    </xf>
    <xf numFmtId="198" fontId="5" fillId="0" borderId="1" xfId="0" applyNumberFormat="1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88" fontId="5" fillId="0" borderId="30" xfId="1" applyNumberFormat="1" applyFont="1" applyBorder="1" applyAlignment="1">
      <alignment vertical="center"/>
    </xf>
    <xf numFmtId="188" fontId="7" fillId="0" borderId="31" xfId="1" applyNumberFormat="1" applyFont="1" applyBorder="1" applyAlignment="1">
      <alignment horizontal="center" vertical="center"/>
    </xf>
    <xf numFmtId="188" fontId="7" fillId="0" borderId="15" xfId="1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188" fontId="5" fillId="0" borderId="32" xfId="1" applyNumberFormat="1" applyFont="1" applyBorder="1" applyAlignment="1">
      <alignment horizontal="right" vertical="center"/>
    </xf>
    <xf numFmtId="188" fontId="5" fillId="0" borderId="8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89" fontId="5" fillId="2" borderId="9" xfId="1" applyNumberFormat="1" applyFont="1" applyFill="1" applyBorder="1" applyAlignment="1">
      <alignment horizontal="center" vertical="center"/>
    </xf>
    <xf numFmtId="189" fontId="5" fillId="0" borderId="9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88" fontId="5" fillId="0" borderId="3" xfId="1" applyNumberFormat="1" applyFont="1" applyBorder="1" applyAlignment="1">
      <alignment horizontal="right" vertical="center"/>
    </xf>
    <xf numFmtId="188" fontId="5" fillId="0" borderId="3" xfId="1" applyNumberFormat="1" applyFont="1" applyBorder="1" applyAlignment="1">
      <alignment vertical="center"/>
    </xf>
    <xf numFmtId="188" fontId="7" fillId="8" borderId="7" xfId="1" applyNumberFormat="1" applyFont="1" applyFill="1" applyBorder="1" applyAlignment="1">
      <alignment horizontal="right" vertical="center"/>
    </xf>
    <xf numFmtId="188" fontId="5" fillId="0" borderId="7" xfId="1" applyNumberFormat="1" applyFont="1" applyBorder="1" applyAlignment="1">
      <alignment vertical="center"/>
    </xf>
    <xf numFmtId="188" fontId="5" fillId="0" borderId="0" xfId="0" applyNumberFormat="1" applyFont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188" fontId="7" fillId="0" borderId="1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vertical="center"/>
    </xf>
    <xf numFmtId="17" fontId="5" fillId="0" borderId="0" xfId="0" applyNumberFormat="1" applyFont="1" applyFill="1" applyBorder="1" applyAlignment="1">
      <alignment vertical="center"/>
    </xf>
    <xf numFmtId="3" fontId="5" fillId="0" borderId="3" xfId="7" applyNumberFormat="1" applyFont="1" applyFill="1" applyBorder="1" applyAlignment="1">
      <alignment horizontal="center"/>
    </xf>
    <xf numFmtId="188" fontId="5" fillId="0" borderId="3" xfId="7" applyNumberFormat="1" applyFont="1" applyFill="1" applyBorder="1" applyAlignment="1">
      <alignment horizontal="right"/>
    </xf>
    <xf numFmtId="188" fontId="5" fillId="0" borderId="3" xfId="7" applyNumberFormat="1" applyFont="1" applyFill="1" applyBorder="1"/>
    <xf numFmtId="188" fontId="5" fillId="15" borderId="3" xfId="7" applyNumberFormat="1" applyFont="1" applyFill="1" applyBorder="1" applyAlignment="1">
      <alignment horizontal="right"/>
    </xf>
    <xf numFmtId="3" fontId="5" fillId="15" borderId="3" xfId="7" applyNumberFormat="1" applyFont="1" applyFill="1" applyBorder="1" applyAlignment="1">
      <alignment horizontal="center"/>
    </xf>
    <xf numFmtId="3" fontId="5" fillId="0" borderId="3" xfId="7" quotePrefix="1" applyNumberFormat="1" applyFont="1" applyFill="1" applyBorder="1" applyAlignment="1">
      <alignment horizontal="center"/>
    </xf>
    <xf numFmtId="3" fontId="5" fillId="0" borderId="7" xfId="7" applyNumberFormat="1" applyFont="1" applyFill="1" applyBorder="1" applyAlignment="1">
      <alignment horizontal="center"/>
    </xf>
    <xf numFmtId="188" fontId="5" fillId="15" borderId="3" xfId="7" applyNumberFormat="1" applyFont="1" applyFill="1" applyBorder="1" applyAlignment="1">
      <alignment horizontal="center"/>
    </xf>
    <xf numFmtId="0" fontId="5" fillId="0" borderId="7" xfId="0" applyFont="1" applyFill="1" applyBorder="1"/>
    <xf numFmtId="188" fontId="5" fillId="15" borderId="3" xfId="7" applyNumberFormat="1" applyFont="1" applyFill="1" applyBorder="1"/>
    <xf numFmtId="188" fontId="5" fillId="0" borderId="1" xfId="0" applyNumberFormat="1" applyFont="1" applyFill="1" applyBorder="1"/>
    <xf numFmtId="188" fontId="5" fillId="0" borderId="5" xfId="4" applyNumberFormat="1" applyFont="1" applyFill="1" applyBorder="1" applyAlignment="1">
      <alignment horizontal="right"/>
    </xf>
    <xf numFmtId="3" fontId="5" fillId="0" borderId="3" xfId="7" applyNumberFormat="1" applyFont="1" applyFill="1" applyBorder="1" applyAlignment="1">
      <alignment horizontal="center" vertical="center"/>
    </xf>
    <xf numFmtId="188" fontId="5" fillId="0" borderId="3" xfId="7" applyNumberFormat="1" applyFont="1" applyFill="1" applyBorder="1" applyAlignment="1">
      <alignment horizontal="right" vertical="center"/>
    </xf>
    <xf numFmtId="188" fontId="5" fillId="0" borderId="3" xfId="7" applyNumberFormat="1" applyFont="1" applyFill="1" applyBorder="1" applyAlignment="1">
      <alignment horizontal="center" vertical="center"/>
    </xf>
    <xf numFmtId="188" fontId="5" fillId="0" borderId="3" xfId="7" applyNumberFormat="1" applyFont="1" applyFill="1" applyBorder="1" applyAlignment="1">
      <alignment vertical="center"/>
    </xf>
    <xf numFmtId="188" fontId="5" fillId="0" borderId="6" xfId="7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center" vertical="center"/>
    </xf>
    <xf numFmtId="187" fontId="5" fillId="0" borderId="3" xfId="7" applyFont="1" applyFill="1" applyBorder="1" applyAlignment="1">
      <alignment vertical="center"/>
    </xf>
    <xf numFmtId="201" fontId="5" fillId="0" borderId="10" xfId="4" applyNumberFormat="1" applyFont="1" applyBorder="1" applyAlignment="1">
      <alignment horizontal="center"/>
    </xf>
    <xf numFmtId="201" fontId="5" fillId="0" borderId="12" xfId="4" applyNumberFormat="1" applyFont="1" applyBorder="1" applyAlignment="1">
      <alignment horizontal="center"/>
    </xf>
    <xf numFmtId="3" fontId="5" fillId="0" borderId="3" xfId="4" applyNumberFormat="1" applyFont="1" applyBorder="1" applyAlignment="1">
      <alignment horizontal="left"/>
    </xf>
    <xf numFmtId="188" fontId="5" fillId="0" borderId="1" xfId="0" applyNumberFormat="1" applyFont="1" applyFill="1" applyBorder="1" applyAlignment="1">
      <alignment vertical="center"/>
    </xf>
    <xf numFmtId="3" fontId="5" fillId="0" borderId="3" xfId="1" applyNumberFormat="1" applyFont="1" applyBorder="1" applyAlignment="1">
      <alignment horizontal="center"/>
    </xf>
    <xf numFmtId="188" fontId="5" fillId="0" borderId="3" xfId="1" applyNumberFormat="1" applyFont="1" applyBorder="1"/>
    <xf numFmtId="0" fontId="5" fillId="0" borderId="3" xfId="10" applyFont="1" applyFill="1" applyBorder="1"/>
    <xf numFmtId="3" fontId="5" fillId="0" borderId="7" xfId="8" applyNumberFormat="1" applyFont="1" applyFill="1" applyBorder="1" applyAlignment="1">
      <alignment horizontal="center"/>
    </xf>
    <xf numFmtId="0" fontId="5" fillId="0" borderId="5" xfId="10" applyFont="1" applyFill="1" applyBorder="1" applyAlignment="1">
      <alignment horizontal="center"/>
    </xf>
    <xf numFmtId="188" fontId="5" fillId="0" borderId="3" xfId="8" applyNumberFormat="1" applyFont="1" applyFill="1" applyBorder="1" applyAlignment="1">
      <alignment horizontal="right"/>
    </xf>
    <xf numFmtId="0" fontId="5" fillId="0" borderId="0" xfId="0" applyFont="1" applyFill="1"/>
    <xf numFmtId="3" fontId="5" fillId="0" borderId="3" xfId="8" quotePrefix="1" applyNumberFormat="1" applyFont="1" applyFill="1" applyBorder="1" applyAlignment="1">
      <alignment horizontal="center"/>
    </xf>
    <xf numFmtId="188" fontId="5" fillId="0" borderId="3" xfId="8" applyNumberFormat="1" applyFont="1" applyFill="1" applyBorder="1"/>
    <xf numFmtId="188" fontId="5" fillId="0" borderId="0" xfId="0" applyNumberFormat="1" applyFont="1" applyFill="1"/>
    <xf numFmtId="3" fontId="5" fillId="0" borderId="3" xfId="8" applyNumberFormat="1" applyFont="1" applyFill="1" applyBorder="1" applyAlignment="1">
      <alignment horizontal="center"/>
    </xf>
    <xf numFmtId="0" fontId="7" fillId="15" borderId="10" xfId="0" applyFont="1" applyFill="1" applyBorder="1" applyAlignment="1">
      <alignment horizontal="center"/>
    </xf>
    <xf numFmtId="188" fontId="5" fillId="0" borderId="5" xfId="8" applyNumberFormat="1" applyFont="1" applyFill="1" applyBorder="1"/>
    <xf numFmtId="0" fontId="7" fillId="15" borderId="10" xfId="0" applyFont="1" applyFill="1" applyBorder="1" applyAlignment="1">
      <alignment horizontal="center" vertical="center"/>
    </xf>
    <xf numFmtId="0" fontId="5" fillId="15" borderId="0" xfId="0" applyFont="1" applyFill="1"/>
    <xf numFmtId="0" fontId="5" fillId="15" borderId="0" xfId="0" applyFont="1" applyFill="1" applyAlignment="1">
      <alignment horizontal="center"/>
    </xf>
    <xf numFmtId="3" fontId="5" fillId="0" borderId="3" xfId="7" applyNumberFormat="1" applyFont="1" applyBorder="1" applyAlignment="1">
      <alignment horizontal="center"/>
    </xf>
    <xf numFmtId="188" fontId="5" fillId="0" borderId="3" xfId="7" applyNumberFormat="1" applyFont="1" applyBorder="1"/>
    <xf numFmtId="188" fontId="5" fillId="0" borderId="3" xfId="7" applyNumberFormat="1" applyFont="1" applyFill="1" applyBorder="1" applyAlignment="1">
      <alignment horizontal="center"/>
    </xf>
    <xf numFmtId="44" fontId="5" fillId="0" borderId="3" xfId="9" applyFont="1" applyFill="1" applyBorder="1"/>
    <xf numFmtId="9" fontId="5" fillId="0" borderId="0" xfId="0" applyNumberFormat="1" applyFont="1" applyFill="1"/>
    <xf numFmtId="0" fontId="5" fillId="15" borderId="3" xfId="0" applyFont="1" applyFill="1" applyBorder="1" applyAlignment="1">
      <alignment horizontal="left" vertical="center"/>
    </xf>
    <xf numFmtId="188" fontId="5" fillId="0" borderId="3" xfId="0" applyNumberFormat="1" applyFont="1" applyFill="1" applyBorder="1" applyAlignment="1">
      <alignment vertical="center"/>
    </xf>
    <xf numFmtId="189" fontId="7" fillId="18" borderId="3" xfId="1" applyNumberFormat="1" applyFont="1" applyFill="1" applyBorder="1" applyAlignment="1">
      <alignment vertical="center"/>
    </xf>
    <xf numFmtId="0" fontId="7" fillId="0" borderId="3" xfId="10" applyFont="1" applyFill="1" applyBorder="1"/>
    <xf numFmtId="188" fontId="5" fillId="0" borderId="5" xfId="7" applyNumberFormat="1" applyFont="1" applyFill="1" applyBorder="1" applyAlignment="1">
      <alignment horizontal="right"/>
    </xf>
    <xf numFmtId="188" fontId="5" fillId="0" borderId="5" xfId="8" applyNumberFormat="1" applyFont="1" applyFill="1" applyBorder="1" applyAlignment="1">
      <alignment horizontal="right"/>
    </xf>
    <xf numFmtId="189" fontId="5" fillId="0" borderId="7" xfId="8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189" fontId="5" fillId="0" borderId="3" xfId="8" applyNumberFormat="1" applyFont="1" applyFill="1" applyBorder="1" applyAlignment="1">
      <alignment horizontal="center"/>
    </xf>
    <xf numFmtId="0" fontId="5" fillId="0" borderId="10" xfId="10" applyFont="1" applyFill="1" applyBorder="1"/>
    <xf numFmtId="0" fontId="5" fillId="0" borderId="3" xfId="10" applyFont="1" applyFill="1" applyBorder="1" applyAlignment="1">
      <alignment horizontal="center"/>
    </xf>
    <xf numFmtId="188" fontId="5" fillId="15" borderId="3" xfId="7" applyNumberFormat="1" applyFont="1" applyFill="1" applyBorder="1" applyAlignment="1">
      <alignment horizontal="right" vertical="center"/>
    </xf>
    <xf numFmtId="188" fontId="5" fillId="0" borderId="3" xfId="7" applyNumberFormat="1" applyFont="1" applyBorder="1" applyAlignment="1">
      <alignment horizontal="right"/>
    </xf>
    <xf numFmtId="188" fontId="5" fillId="15" borderId="6" xfId="7" applyNumberFormat="1" applyFont="1" applyFill="1" applyBorder="1" applyAlignment="1">
      <alignment horizontal="right"/>
    </xf>
    <xf numFmtId="188" fontId="5" fillId="0" borderId="3" xfId="7" applyNumberFormat="1" applyFont="1" applyBorder="1" applyAlignment="1">
      <alignment horizontal="center"/>
    </xf>
    <xf numFmtId="3" fontId="5" fillId="15" borderId="3" xfId="7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188" fontId="5" fillId="15" borderId="3" xfId="7" applyNumberFormat="1" applyFont="1" applyFill="1" applyBorder="1" applyAlignment="1">
      <alignment vertical="center"/>
    </xf>
    <xf numFmtId="0" fontId="5" fillId="0" borderId="33" xfId="0" applyFont="1" applyFill="1" applyBorder="1" applyAlignment="1">
      <alignment horizontal="center"/>
    </xf>
    <xf numFmtId="188" fontId="5" fillId="0" borderId="10" xfId="7" applyNumberFormat="1" applyFont="1" applyBorder="1" applyAlignment="1">
      <alignment horizontal="center"/>
    </xf>
    <xf numFmtId="188" fontId="5" fillId="0" borderId="12" xfId="7" applyNumberFormat="1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5" fillId="0" borderId="3" xfId="0" applyFont="1" applyFill="1" applyBorder="1" applyAlignment="1">
      <alignment vertical="center" shrinkToFit="1"/>
    </xf>
    <xf numFmtId="202" fontId="5" fillId="0" borderId="3" xfId="1" applyNumberFormat="1" applyFont="1" applyFill="1" applyBorder="1" applyAlignment="1">
      <alignment horizontal="center" vertical="center"/>
    </xf>
    <xf numFmtId="201" fontId="5" fillId="0" borderId="3" xfId="4" applyNumberFormat="1" applyFont="1" applyBorder="1" applyAlignment="1">
      <alignment horizontal="center"/>
    </xf>
    <xf numFmtId="3" fontId="5" fillId="0" borderId="3" xfId="4" applyNumberFormat="1" applyFont="1" applyBorder="1" applyAlignment="1">
      <alignment horizontal="center"/>
    </xf>
    <xf numFmtId="189" fontId="5" fillId="3" borderId="0" xfId="0" applyNumberFormat="1" applyFont="1" applyFill="1" applyBorder="1"/>
    <xf numFmtId="0" fontId="5" fillId="0" borderId="3" xfId="0" applyFont="1" applyFill="1" applyBorder="1" applyAlignment="1">
      <alignment shrinkToFit="1"/>
    </xf>
    <xf numFmtId="4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/>
    </xf>
    <xf numFmtId="0" fontId="7" fillId="0" borderId="3" xfId="0" applyFont="1" applyBorder="1"/>
    <xf numFmtId="188" fontId="5" fillId="2" borderId="12" xfId="7" applyNumberFormat="1" applyFont="1" applyFill="1" applyBorder="1" applyAlignment="1">
      <alignment horizontal="right" vertical="center"/>
    </xf>
    <xf numFmtId="189" fontId="7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10" applyFont="1" applyFill="1" applyBorder="1" applyAlignment="1">
      <alignment vertical="center"/>
    </xf>
    <xf numFmtId="0" fontId="7" fillId="0" borderId="0" xfId="0" applyFont="1" applyFill="1"/>
    <xf numFmtId="205" fontId="5" fillId="0" borderId="3" xfId="7" applyNumberFormat="1" applyFont="1" applyFill="1" applyBorder="1" applyAlignment="1">
      <alignment horizontal="center" vertical="center"/>
    </xf>
    <xf numFmtId="4" fontId="5" fillId="0" borderId="3" xfId="7" applyNumberFormat="1" applyFont="1" applyFill="1" applyBorder="1" applyAlignment="1">
      <alignment horizontal="center" vertical="center"/>
    </xf>
    <xf numFmtId="188" fontId="5" fillId="0" borderId="6" xfId="0" applyNumberFormat="1" applyFont="1" applyBorder="1"/>
    <xf numFmtId="188" fontId="5" fillId="0" borderId="6" xfId="4" applyNumberFormat="1" applyFont="1" applyBorder="1" applyAlignment="1">
      <alignment horizontal="right"/>
    </xf>
    <xf numFmtId="188" fontId="5" fillId="0" borderId="5" xfId="4" applyNumberFormat="1" applyFont="1" applyBorder="1" applyAlignment="1"/>
    <xf numFmtId="3" fontId="5" fillId="0" borderId="0" xfId="0" applyNumberFormat="1" applyFont="1" applyFill="1" applyAlignment="1">
      <alignment vertical="center"/>
    </xf>
    <xf numFmtId="188" fontId="5" fillId="0" borderId="6" xfId="4" applyNumberFormat="1" applyFont="1" applyFill="1" applyBorder="1" applyAlignment="1">
      <alignment horizontal="right"/>
    </xf>
    <xf numFmtId="188" fontId="5" fillId="0" borderId="5" xfId="7" applyNumberFormat="1" applyFont="1" applyFill="1" applyBorder="1" applyAlignment="1">
      <alignment vertical="center"/>
    </xf>
    <xf numFmtId="188" fontId="5" fillId="0" borderId="5" xfId="7" applyNumberFormat="1" applyFont="1" applyFill="1" applyBorder="1" applyAlignment="1">
      <alignment horizontal="center" vertical="center"/>
    </xf>
    <xf numFmtId="188" fontId="7" fillId="0" borderId="12" xfId="1" applyNumberFormat="1" applyFont="1" applyFill="1" applyBorder="1" applyAlignment="1">
      <alignment horizontal="center" vertical="center"/>
    </xf>
    <xf numFmtId="188" fontId="5" fillId="0" borderId="6" xfId="1" applyNumberFormat="1" applyFont="1" applyFill="1" applyBorder="1" applyAlignment="1">
      <alignment horizontal="center"/>
    </xf>
    <xf numFmtId="188" fontId="5" fillId="0" borderId="5" xfId="1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43" fontId="7" fillId="0" borderId="24" xfId="11" applyFont="1" applyFill="1" applyBorder="1" applyAlignment="1">
      <alignment horizontal="left" vertical="center"/>
    </xf>
    <xf numFmtId="0" fontId="7" fillId="15" borderId="3" xfId="0" applyFont="1" applyFill="1" applyBorder="1"/>
    <xf numFmtId="188" fontId="5" fillId="15" borderId="3" xfId="1" applyNumberFormat="1" applyFont="1" applyFill="1" applyBorder="1" applyAlignment="1">
      <alignment horizontal="center"/>
    </xf>
    <xf numFmtId="189" fontId="7" fillId="15" borderId="3" xfId="1" applyNumberFormat="1" applyFont="1" applyFill="1" applyBorder="1" applyAlignment="1">
      <alignment vertical="center"/>
    </xf>
    <xf numFmtId="1" fontId="5" fillId="15" borderId="3" xfId="0" applyNumberFormat="1" applyFont="1" applyFill="1" applyBorder="1" applyAlignment="1">
      <alignment horizontal="center" vertical="center"/>
    </xf>
    <xf numFmtId="43" fontId="7" fillId="15" borderId="80" xfId="11" applyFont="1" applyFill="1" applyBorder="1" applyAlignment="1">
      <alignment horizontal="left" vertical="center"/>
    </xf>
    <xf numFmtId="188" fontId="5" fillId="0" borderId="3" xfId="1" applyNumberFormat="1" applyFont="1" applyFill="1" applyBorder="1" applyAlignment="1"/>
    <xf numFmtId="43" fontId="7" fillId="15" borderId="24" xfId="11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3" fontId="5" fillId="15" borderId="3" xfId="4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vertical="center"/>
    </xf>
    <xf numFmtId="43" fontId="7" fillId="0" borderId="3" xfId="11" applyFont="1" applyFill="1" applyBorder="1" applyAlignment="1">
      <alignment horizontal="left" vertical="center"/>
    </xf>
    <xf numFmtId="1" fontId="5" fillId="0" borderId="0" xfId="0" applyNumberFormat="1" applyFont="1" applyFill="1" applyAlignment="1">
      <alignment vertical="center"/>
    </xf>
    <xf numFmtId="0" fontId="5" fillId="0" borderId="3" xfId="0" applyFont="1" applyBorder="1" applyAlignment="1">
      <alignment horizontal="left"/>
    </xf>
    <xf numFmtId="187" fontId="5" fillId="0" borderId="3" xfId="1" applyFont="1" applyFill="1" applyBorder="1"/>
    <xf numFmtId="206" fontId="5" fillId="0" borderId="3" xfId="1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5" fillId="15" borderId="0" xfId="0" applyFont="1" applyFill="1" applyAlignment="1">
      <alignment vertical="center"/>
    </xf>
    <xf numFmtId="187" fontId="5" fillId="0" borderId="0" xfId="1" applyFont="1"/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4" fontId="5" fillId="0" borderId="0" xfId="0" applyNumberFormat="1" applyFont="1"/>
    <xf numFmtId="0" fontId="7" fillId="0" borderId="3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0" xfId="0" applyFont="1" applyFill="1" applyAlignment="1">
      <alignment horizontal="right"/>
    </xf>
    <xf numFmtId="0" fontId="5" fillId="15" borderId="3" xfId="0" quotePrefix="1" applyFont="1" applyFill="1" applyBorder="1" applyAlignment="1">
      <alignment vertical="center"/>
    </xf>
    <xf numFmtId="188" fontId="5" fillId="15" borderId="3" xfId="4" applyNumberFormat="1" applyFont="1" applyFill="1" applyBorder="1" applyAlignment="1">
      <alignment vertical="center"/>
    </xf>
    <xf numFmtId="188" fontId="5" fillId="15" borderId="3" xfId="4" applyNumberFormat="1" applyFont="1" applyFill="1" applyBorder="1" applyAlignment="1">
      <alignment horizontal="center"/>
    </xf>
    <xf numFmtId="188" fontId="5" fillId="3" borderId="3" xfId="1" applyNumberFormat="1" applyFont="1" applyFill="1" applyBorder="1" applyAlignment="1">
      <alignment horizontal="right"/>
    </xf>
    <xf numFmtId="0" fontId="25" fillId="0" borderId="3" xfId="0" applyFont="1" applyFill="1" applyBorder="1" applyAlignment="1">
      <alignment horizontal="center"/>
    </xf>
    <xf numFmtId="189" fontId="7" fillId="3" borderId="3" xfId="1" applyNumberFormat="1" applyFont="1" applyFill="1" applyBorder="1" applyAlignment="1">
      <alignment vertical="center"/>
    </xf>
    <xf numFmtId="199" fontId="5" fillId="0" borderId="1" xfId="0" applyNumberFormat="1" applyFont="1" applyBorder="1" applyAlignment="1">
      <alignment horizontal="left" vertical="center"/>
    </xf>
    <xf numFmtId="188" fontId="7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88" fontId="7" fillId="0" borderId="14" xfId="1" applyNumberFormat="1" applyFont="1" applyBorder="1" applyAlignment="1">
      <alignment horizontal="center" vertical="center"/>
    </xf>
    <xf numFmtId="188" fontId="7" fillId="0" borderId="15" xfId="1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188" fontId="5" fillId="0" borderId="6" xfId="7" applyNumberFormat="1" applyFont="1" applyFill="1" applyBorder="1" applyAlignment="1">
      <alignment horizontal="center" vertical="center"/>
    </xf>
    <xf numFmtId="188" fontId="5" fillId="0" borderId="5" xfId="7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8" fontId="7" fillId="0" borderId="11" xfId="1" applyNumberFormat="1" applyFont="1" applyFill="1" applyBorder="1" applyAlignment="1">
      <alignment horizontal="center" vertical="center"/>
    </xf>
    <xf numFmtId="188" fontId="7" fillId="0" borderId="12" xfId="1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89" fontId="7" fillId="0" borderId="14" xfId="1" applyNumberFormat="1" applyFont="1" applyFill="1" applyBorder="1" applyAlignment="1">
      <alignment horizontal="center" vertical="center"/>
    </xf>
    <xf numFmtId="189" fontId="7" fillId="0" borderId="15" xfId="1" applyNumberFormat="1" applyFont="1" applyFill="1" applyBorder="1" applyAlignment="1">
      <alignment horizontal="center" vertical="center"/>
    </xf>
    <xf numFmtId="188" fontId="5" fillId="0" borderId="6" xfId="1" applyNumberFormat="1" applyFont="1" applyFill="1" applyBorder="1" applyAlignment="1">
      <alignment horizontal="center" vertical="center"/>
    </xf>
    <xf numFmtId="188" fontId="5" fillId="0" borderId="5" xfId="1" applyNumberFormat="1" applyFont="1" applyFill="1" applyBorder="1" applyAlignment="1">
      <alignment horizontal="center" vertical="center"/>
    </xf>
    <xf numFmtId="188" fontId="5" fillId="15" borderId="6" xfId="1" applyNumberFormat="1" applyFont="1" applyFill="1" applyBorder="1" applyAlignment="1">
      <alignment horizontal="center" vertical="center"/>
    </xf>
    <xf numFmtId="188" fontId="5" fillId="15" borderId="5" xfId="1" applyNumberFormat="1" applyFont="1" applyFill="1" applyBorder="1" applyAlignment="1">
      <alignment horizontal="center" vertical="center"/>
    </xf>
    <xf numFmtId="188" fontId="5" fillId="0" borderId="6" xfId="1" applyNumberFormat="1" applyFont="1" applyFill="1" applyBorder="1" applyAlignment="1">
      <alignment horizontal="center"/>
    </xf>
    <xf numFmtId="188" fontId="5" fillId="0" borderId="5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9" fontId="10" fillId="8" borderId="48" xfId="6" applyFont="1" applyFill="1" applyBorder="1" applyAlignment="1">
      <alignment horizontal="center" vertical="center"/>
    </xf>
    <xf numFmtId="9" fontId="10" fillId="8" borderId="49" xfId="6" applyFont="1" applyFill="1" applyBorder="1" applyAlignment="1">
      <alignment horizontal="center" vertical="center"/>
    </xf>
    <xf numFmtId="9" fontId="10" fillId="8" borderId="50" xfId="6" applyFont="1" applyFill="1" applyBorder="1" applyAlignment="1">
      <alignment horizontal="center" vertical="center"/>
    </xf>
    <xf numFmtId="0" fontId="9" fillId="8" borderId="45" xfId="0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0" fontId="9" fillId="8" borderId="47" xfId="0" applyFont="1" applyFill="1" applyBorder="1" applyAlignment="1">
      <alignment horizontal="center" vertical="center"/>
    </xf>
    <xf numFmtId="9" fontId="16" fillId="8" borderId="48" xfId="6" applyFont="1" applyFill="1" applyBorder="1" applyAlignment="1">
      <alignment horizontal="center" vertical="center"/>
    </xf>
    <xf numFmtId="9" fontId="16" fillId="8" borderId="49" xfId="6" applyFont="1" applyFill="1" applyBorder="1" applyAlignment="1">
      <alignment horizontal="center" vertical="center"/>
    </xf>
    <xf numFmtId="9" fontId="16" fillId="8" borderId="50" xfId="6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2">
    <cellStyle name="Comma" xfId="1" builtinId="3"/>
    <cellStyle name="Comma 2" xfId="7"/>
    <cellStyle name="Comma 2 2 2" xfId="11"/>
    <cellStyle name="Currency" xfId="9" builtinId="4"/>
    <cellStyle name="Normal" xfId="0" builtinId="0"/>
    <cellStyle name="Percent" xfId="6" builtinId="5"/>
    <cellStyle name="Percent 2" xfId="5"/>
    <cellStyle name="เครื่องหมายจุลภาค 2" xfId="4"/>
    <cellStyle name="เครื่องหมายจุลภาค_Sheet1" xfId="8"/>
    <cellStyle name="เครื่องหมายจุลภาค_แบบ  ปร. 5" xfId="2"/>
    <cellStyle name="ปกติ_Sheet1" xfId="10"/>
    <cellStyle name="ปกติ_แบบ  ปร. 5" xfId="3"/>
  </cellStyles>
  <dxfs count="3">
    <dxf>
      <numFmt numFmtId="207" formatCode="\ "/>
    </dxf>
    <dxf>
      <numFmt numFmtId="207" formatCode="\ "/>
    </dxf>
    <dxf>
      <numFmt numFmtId="207" formatCode="\ 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FFCC"/>
      <color rgb="FFD6ECF2"/>
      <color rgb="FFBAFBB7"/>
      <color rgb="FFFCE3E0"/>
      <color rgb="FFFACFCA"/>
      <color rgb="FFDAFEE9"/>
      <color rgb="FFF9DFF9"/>
      <color rgb="FFFF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2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3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4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7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8" name="กล่องข้อความ 785"/>
        <xdr:cNvSpPr txBox="1"/>
      </xdr:nvSpPr>
      <xdr:spPr>
        <a:xfrm>
          <a:off x="5924550" y="331517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9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0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1" name="กล่องข้อความ 785"/>
        <xdr:cNvSpPr txBox="1"/>
      </xdr:nvSpPr>
      <xdr:spPr>
        <a:xfrm>
          <a:off x="5924550" y="321611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2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3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4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5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6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17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18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80962</xdr:rowOff>
    </xdr:from>
    <xdr:ext cx="65" cy="170239"/>
    <xdr:sp macro="" textlink="">
      <xdr:nvSpPr>
        <xdr:cNvPr id="19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99</xdr:row>
      <xdr:rowOff>80962</xdr:rowOff>
    </xdr:from>
    <xdr:ext cx="65" cy="170239"/>
    <xdr:sp macro="" textlink="">
      <xdr:nvSpPr>
        <xdr:cNvPr id="20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21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99</xdr:row>
      <xdr:rowOff>80962</xdr:rowOff>
    </xdr:from>
    <xdr:ext cx="65" cy="170239"/>
    <xdr:sp macro="" textlink="">
      <xdr:nvSpPr>
        <xdr:cNvPr id="22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23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100</xdr:row>
      <xdr:rowOff>80962</xdr:rowOff>
    </xdr:from>
    <xdr:ext cx="65" cy="170239"/>
    <xdr:sp macro="" textlink="">
      <xdr:nvSpPr>
        <xdr:cNvPr id="24" name="กล่องข้อความ 785"/>
        <xdr:cNvSpPr txBox="1"/>
      </xdr:nvSpPr>
      <xdr:spPr>
        <a:xfrm>
          <a:off x="5924550" y="69442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99</xdr:row>
      <xdr:rowOff>80962</xdr:rowOff>
    </xdr:from>
    <xdr:ext cx="65" cy="170239"/>
    <xdr:sp macro="" textlink="">
      <xdr:nvSpPr>
        <xdr:cNvPr id="25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80962</xdr:rowOff>
    </xdr:from>
    <xdr:ext cx="65" cy="170239"/>
    <xdr:sp macro="" textlink="">
      <xdr:nvSpPr>
        <xdr:cNvPr id="26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0</xdr:rowOff>
    </xdr:from>
    <xdr:ext cx="65" cy="170239"/>
    <xdr:sp macro="" textlink="">
      <xdr:nvSpPr>
        <xdr:cNvPr id="27" name="กล่องข้อความ 785"/>
        <xdr:cNvSpPr txBox="1"/>
      </xdr:nvSpPr>
      <xdr:spPr>
        <a:xfrm>
          <a:off x="5924550" y="684514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28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80962</xdr:rowOff>
    </xdr:from>
    <xdr:ext cx="65" cy="170239"/>
    <xdr:sp macro="" textlink="">
      <xdr:nvSpPr>
        <xdr:cNvPr id="29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30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80962</xdr:rowOff>
    </xdr:from>
    <xdr:ext cx="65" cy="170239"/>
    <xdr:sp macro="" textlink="">
      <xdr:nvSpPr>
        <xdr:cNvPr id="31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99</xdr:row>
      <xdr:rowOff>80962</xdr:rowOff>
    </xdr:from>
    <xdr:ext cx="65" cy="170239"/>
    <xdr:sp macro="" textlink="">
      <xdr:nvSpPr>
        <xdr:cNvPr id="32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98</xdr:row>
      <xdr:rowOff>80962</xdr:rowOff>
    </xdr:from>
    <xdr:ext cx="65" cy="170239"/>
    <xdr:sp macro="" textlink="">
      <xdr:nvSpPr>
        <xdr:cNvPr id="33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38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93</xdr:row>
      <xdr:rowOff>80962</xdr:rowOff>
    </xdr:from>
    <xdr:ext cx="65" cy="170239"/>
    <xdr:sp macro="" textlink="">
      <xdr:nvSpPr>
        <xdr:cNvPr id="39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95</xdr:row>
      <xdr:rowOff>80962</xdr:rowOff>
    </xdr:from>
    <xdr:ext cx="65" cy="170239"/>
    <xdr:sp macro="" textlink="">
      <xdr:nvSpPr>
        <xdr:cNvPr id="40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41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95</xdr:row>
      <xdr:rowOff>80962</xdr:rowOff>
    </xdr:from>
    <xdr:ext cx="65" cy="170239"/>
    <xdr:sp macro="" textlink="">
      <xdr:nvSpPr>
        <xdr:cNvPr id="42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43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96</xdr:row>
      <xdr:rowOff>80962</xdr:rowOff>
    </xdr:from>
    <xdr:ext cx="65" cy="170239"/>
    <xdr:sp macro="" textlink="">
      <xdr:nvSpPr>
        <xdr:cNvPr id="44" name="กล่องข้อความ 785"/>
        <xdr:cNvSpPr txBox="1"/>
      </xdr:nvSpPr>
      <xdr:spPr>
        <a:xfrm>
          <a:off x="6172200" y="62755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95</xdr:row>
      <xdr:rowOff>80962</xdr:rowOff>
    </xdr:from>
    <xdr:ext cx="65" cy="170239"/>
    <xdr:sp macro="" textlink="">
      <xdr:nvSpPr>
        <xdr:cNvPr id="45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93</xdr:row>
      <xdr:rowOff>80962</xdr:rowOff>
    </xdr:from>
    <xdr:ext cx="65" cy="170239"/>
    <xdr:sp macro="" textlink="">
      <xdr:nvSpPr>
        <xdr:cNvPr id="46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92</xdr:row>
      <xdr:rowOff>80962</xdr:rowOff>
    </xdr:from>
    <xdr:ext cx="65" cy="170239"/>
    <xdr:sp macro="" textlink="">
      <xdr:nvSpPr>
        <xdr:cNvPr id="47" name="กล่องข้อความ 785"/>
        <xdr:cNvSpPr txBox="1"/>
      </xdr:nvSpPr>
      <xdr:spPr>
        <a:xfrm>
          <a:off x="6172200" y="616505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48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93</xdr:row>
      <xdr:rowOff>80962</xdr:rowOff>
    </xdr:from>
    <xdr:ext cx="65" cy="170239"/>
    <xdr:sp macro="" textlink="">
      <xdr:nvSpPr>
        <xdr:cNvPr id="49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50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93</xdr:row>
      <xdr:rowOff>80962</xdr:rowOff>
    </xdr:from>
    <xdr:ext cx="65" cy="170239"/>
    <xdr:sp macro="" textlink="">
      <xdr:nvSpPr>
        <xdr:cNvPr id="51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95</xdr:row>
      <xdr:rowOff>80962</xdr:rowOff>
    </xdr:from>
    <xdr:ext cx="65" cy="170239"/>
    <xdr:sp macro="" textlink="">
      <xdr:nvSpPr>
        <xdr:cNvPr id="52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94</xdr:row>
      <xdr:rowOff>80962</xdr:rowOff>
    </xdr:from>
    <xdr:ext cx="65" cy="170239"/>
    <xdr:sp macro="" textlink="">
      <xdr:nvSpPr>
        <xdr:cNvPr id="53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4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5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6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7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8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59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0" name="กล่องข้อความ 785"/>
        <xdr:cNvSpPr txBox="1"/>
      </xdr:nvSpPr>
      <xdr:spPr>
        <a:xfrm>
          <a:off x="6172200" y="31989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1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2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3" name="กล่องข้อความ 785"/>
        <xdr:cNvSpPr txBox="1"/>
      </xdr:nvSpPr>
      <xdr:spPr>
        <a:xfrm>
          <a:off x="6172200" y="30884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4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5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6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7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8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28</xdr:row>
      <xdr:rowOff>0</xdr:rowOff>
    </xdr:from>
    <xdr:ext cx="65" cy="170239"/>
    <xdr:sp macro="" textlink="">
      <xdr:nvSpPr>
        <xdr:cNvPr id="69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C00000"/>
  </sheetPr>
  <dimension ref="A1:E48"/>
  <sheetViews>
    <sheetView showGridLines="0" view="pageBreakPreview" topLeftCell="A25" zoomScale="130" zoomScaleNormal="175" zoomScaleSheetLayoutView="130" workbookViewId="0">
      <selection sqref="A1:D36"/>
    </sheetView>
  </sheetViews>
  <sheetFormatPr defaultRowHeight="18"/>
  <cols>
    <col min="1" max="1" width="12.7109375" style="1" customWidth="1"/>
    <col min="2" max="2" width="45.85546875" style="1" customWidth="1"/>
    <col min="3" max="3" width="23.42578125" style="343" customWidth="1"/>
    <col min="4" max="4" width="18.140625" style="343" customWidth="1"/>
    <col min="5" max="5" width="15.42578125" style="1" customWidth="1"/>
    <col min="6" max="16384" width="9.140625" style="1"/>
  </cols>
  <sheetData>
    <row r="1" spans="1:4" s="317" customFormat="1">
      <c r="A1" s="477" t="s">
        <v>91</v>
      </c>
      <c r="B1" s="477"/>
      <c r="C1" s="477"/>
      <c r="D1" s="477"/>
    </row>
    <row r="2" spans="1:4">
      <c r="A2" s="6" t="s">
        <v>66</v>
      </c>
      <c r="B2" s="6" t="s">
        <v>415</v>
      </c>
      <c r="C2" s="205"/>
      <c r="D2" s="205"/>
    </row>
    <row r="3" spans="1:4">
      <c r="A3" s="6" t="s">
        <v>63</v>
      </c>
      <c r="B3" s="6" t="s">
        <v>116</v>
      </c>
      <c r="C3" s="205"/>
      <c r="D3" s="318"/>
    </row>
    <row r="4" spans="1:4">
      <c r="A4" s="6" t="s">
        <v>56</v>
      </c>
      <c r="B4" s="6" t="s">
        <v>410</v>
      </c>
      <c r="C4" s="205"/>
      <c r="D4" s="318"/>
    </row>
    <row r="5" spans="1:4">
      <c r="A5" s="6" t="s">
        <v>93</v>
      </c>
      <c r="B5" s="6"/>
      <c r="C5" s="319" t="s">
        <v>146</v>
      </c>
      <c r="D5" s="205"/>
    </row>
    <row r="6" spans="1:4">
      <c r="A6" s="6" t="s">
        <v>67</v>
      </c>
      <c r="B6" s="320"/>
      <c r="C6" s="472">
        <v>27</v>
      </c>
      <c r="D6" s="1"/>
    </row>
    <row r="7" spans="1:4">
      <c r="A7" s="6"/>
      <c r="B7" s="6"/>
      <c r="C7" s="205"/>
      <c r="D7" s="205"/>
    </row>
    <row r="8" spans="1:4" ht="18.75" thickBot="1">
      <c r="A8" s="321"/>
      <c r="B8" s="321"/>
      <c r="C8" s="322"/>
      <c r="D8" s="322"/>
    </row>
    <row r="9" spans="1:4" ht="21" customHeight="1" thickTop="1">
      <c r="A9" s="478" t="s">
        <v>0</v>
      </c>
      <c r="B9" s="478" t="s">
        <v>1</v>
      </c>
      <c r="C9" s="323" t="s">
        <v>21</v>
      </c>
      <c r="D9" s="480" t="s">
        <v>8</v>
      </c>
    </row>
    <row r="10" spans="1:4" ht="17.25" customHeight="1" thickBot="1">
      <c r="A10" s="479"/>
      <c r="B10" s="479"/>
      <c r="C10" s="324" t="s">
        <v>64</v>
      </c>
      <c r="D10" s="481"/>
    </row>
    <row r="11" spans="1:4" ht="21" customHeight="1" thickTop="1">
      <c r="A11" s="325">
        <v>1</v>
      </c>
      <c r="B11" s="326" t="s">
        <v>416</v>
      </c>
      <c r="C11" s="327">
        <f>+'ใบสรุปแบบ ปร.5 (ก) '!H26</f>
        <v>12184884.016056499</v>
      </c>
      <c r="D11" s="237"/>
    </row>
    <row r="12" spans="1:4" ht="21" customHeight="1">
      <c r="A12" s="209">
        <v>2</v>
      </c>
      <c r="B12" s="213" t="s">
        <v>90</v>
      </c>
      <c r="C12" s="215">
        <f>+'ใบสรุปแบบ ปร.5 (ข)'!H27</f>
        <v>1075355.3500000001</v>
      </c>
      <c r="D12" s="328"/>
    </row>
    <row r="13" spans="1:4" ht="21" customHeight="1">
      <c r="A13" s="209"/>
      <c r="B13" s="213"/>
      <c r="C13" s="215"/>
      <c r="D13" s="328"/>
    </row>
    <row r="14" spans="1:4" ht="21" customHeight="1">
      <c r="A14" s="209"/>
      <c r="B14" s="213"/>
      <c r="C14" s="215"/>
      <c r="D14" s="328"/>
    </row>
    <row r="15" spans="1:4" ht="21" customHeight="1">
      <c r="A15" s="209"/>
      <c r="B15" s="213"/>
      <c r="C15" s="215"/>
      <c r="D15" s="328"/>
    </row>
    <row r="16" spans="1:4" ht="21" customHeight="1">
      <c r="A16" s="209"/>
      <c r="B16" s="213"/>
      <c r="C16" s="215"/>
      <c r="D16" s="328"/>
    </row>
    <row r="17" spans="1:5" ht="21" customHeight="1">
      <c r="A17" s="209"/>
      <c r="B17" s="213"/>
      <c r="C17" s="215"/>
      <c r="D17" s="328"/>
    </row>
    <row r="18" spans="1:5" ht="21" customHeight="1">
      <c r="A18" s="209"/>
      <c r="B18" s="213"/>
      <c r="C18" s="215"/>
      <c r="D18" s="328"/>
    </row>
    <row r="19" spans="1:5" ht="21" customHeight="1">
      <c r="A19" s="209"/>
      <c r="B19" s="213"/>
      <c r="C19" s="215"/>
      <c r="D19" s="328"/>
    </row>
    <row r="20" spans="1:5" ht="21" customHeight="1">
      <c r="A20" s="209"/>
      <c r="B20" s="213"/>
      <c r="C20" s="215"/>
      <c r="D20" s="328"/>
    </row>
    <row r="21" spans="1:5" ht="21" customHeight="1">
      <c r="A21" s="209"/>
      <c r="B21" s="213"/>
      <c r="C21" s="215"/>
      <c r="D21" s="328"/>
    </row>
    <row r="22" spans="1:5" ht="19.5" customHeight="1">
      <c r="A22" s="209"/>
      <c r="B22" s="213"/>
      <c r="C22" s="214"/>
      <c r="D22" s="215"/>
    </row>
    <row r="23" spans="1:5" ht="19.5" customHeight="1">
      <c r="A23" s="254"/>
      <c r="B23" s="213"/>
      <c r="C23" s="215"/>
      <c r="D23" s="215"/>
    </row>
    <row r="24" spans="1:5" ht="19.5" customHeight="1">
      <c r="A24" s="254"/>
      <c r="B24" s="213"/>
      <c r="C24" s="215"/>
      <c r="D24" s="215"/>
    </row>
    <row r="25" spans="1:5">
      <c r="A25" s="329"/>
      <c r="B25" s="330"/>
      <c r="C25" s="331" t="s">
        <v>9</v>
      </c>
      <c r="D25" s="332"/>
      <c r="E25" s="1" t="s">
        <v>9</v>
      </c>
    </row>
    <row r="26" spans="1:5" ht="21" customHeight="1">
      <c r="A26" s="333"/>
      <c r="B26" s="334" t="s">
        <v>92</v>
      </c>
      <c r="C26" s="335">
        <f>SUM(C11:C25)</f>
        <v>13260239.366056498</v>
      </c>
      <c r="D26" s="336"/>
    </row>
    <row r="27" spans="1:5" ht="21" customHeight="1">
      <c r="A27" s="333"/>
      <c r="B27" s="334" t="s">
        <v>89</v>
      </c>
      <c r="C27" s="337">
        <v>13260000</v>
      </c>
      <c r="D27" s="338"/>
      <c r="E27" s="339">
        <f>+C27-C26</f>
        <v>-239.3660564981401</v>
      </c>
    </row>
    <row r="28" spans="1:5" ht="24.75" customHeight="1">
      <c r="A28" s="340"/>
      <c r="B28" s="334" t="str">
        <f xml:space="preserve"> "ราคา ( "&amp;BAHTTEXT(C27)&amp;" )"</f>
        <v>ราคา ( สิบสามล้านสองแสนหกหมื่นบาทถ้วน )</v>
      </c>
      <c r="C28" s="341"/>
      <c r="D28" s="342"/>
    </row>
    <row r="29" spans="1:5" ht="15.75" customHeight="1">
      <c r="B29" s="343"/>
    </row>
    <row r="30" spans="1:5" ht="20.25" customHeight="1">
      <c r="B30" s="473" t="s">
        <v>419</v>
      </c>
      <c r="C30" s="246"/>
      <c r="D30" s="250"/>
    </row>
    <row r="31" spans="1:5" ht="20.25" customHeight="1">
      <c r="A31" s="474" t="s">
        <v>420</v>
      </c>
      <c r="B31" s="2" t="s">
        <v>426</v>
      </c>
      <c r="C31" s="169" t="s">
        <v>423</v>
      </c>
      <c r="D31" s="248"/>
    </row>
    <row r="32" spans="1:5" ht="20.25" customHeight="1">
      <c r="A32" s="474"/>
      <c r="B32" s="2"/>
      <c r="C32" s="169"/>
      <c r="D32" s="248"/>
    </row>
    <row r="33" spans="1:5" ht="20.25" customHeight="1">
      <c r="A33" s="474" t="s">
        <v>421</v>
      </c>
      <c r="B33" s="2" t="s">
        <v>427</v>
      </c>
      <c r="C33" s="169" t="s">
        <v>424</v>
      </c>
      <c r="D33" s="249"/>
    </row>
    <row r="34" spans="1:5" ht="20.25" customHeight="1">
      <c r="A34" s="474"/>
      <c r="B34" s="2"/>
      <c r="C34" s="169"/>
      <c r="D34" s="250"/>
    </row>
    <row r="35" spans="1:5" ht="20.25" customHeight="1">
      <c r="A35" s="474" t="s">
        <v>422</v>
      </c>
      <c r="B35" s="2" t="s">
        <v>428</v>
      </c>
      <c r="C35" s="169" t="s">
        <v>425</v>
      </c>
      <c r="D35" s="249"/>
    </row>
    <row r="36" spans="1:5" ht="20.25" customHeight="1">
      <c r="B36" s="2"/>
      <c r="C36" s="169"/>
      <c r="D36" s="250"/>
    </row>
    <row r="37" spans="1:5" ht="20.25" customHeight="1">
      <c r="B37" s="2"/>
      <c r="C37" s="169"/>
      <c r="D37" s="249"/>
    </row>
    <row r="38" spans="1:5" ht="20.25" customHeight="1">
      <c r="B38" s="251"/>
      <c r="C38" s="344"/>
      <c r="D38" s="1"/>
    </row>
    <row r="39" spans="1:5" ht="20.25" customHeight="1">
      <c r="B39" s="317"/>
      <c r="C39" s="169"/>
      <c r="D39" s="249"/>
    </row>
    <row r="40" spans="1:5" ht="20.25" customHeight="1">
      <c r="B40" s="7"/>
      <c r="C40" s="169"/>
      <c r="D40" s="3"/>
    </row>
    <row r="41" spans="1:5" ht="20.25" customHeight="1">
      <c r="C41" s="250"/>
      <c r="D41" s="250"/>
    </row>
    <row r="42" spans="1:5" ht="20.25" customHeight="1">
      <c r="C42" s="252"/>
      <c r="D42" s="249"/>
      <c r="E42" s="3"/>
    </row>
    <row r="43" spans="1:5" ht="20.25" customHeight="1">
      <c r="C43" s="3"/>
      <c r="D43" s="250"/>
    </row>
    <row r="44" spans="1:5" ht="20.25" customHeight="1">
      <c r="C44" s="3"/>
      <c r="D44" s="250"/>
    </row>
    <row r="45" spans="1:5" ht="20.25" customHeight="1">
      <c r="C45" s="3"/>
      <c r="D45" s="250"/>
    </row>
    <row r="46" spans="1:5" ht="20.25" customHeight="1">
      <c r="C46" s="3"/>
      <c r="D46" s="3"/>
    </row>
    <row r="48" spans="1:5">
      <c r="D48" s="1"/>
    </row>
  </sheetData>
  <dataConsolidate/>
  <mergeCells count="4">
    <mergeCell ref="A1:D1"/>
    <mergeCell ref="A9:A10"/>
    <mergeCell ref="B9:B10"/>
    <mergeCell ref="D9:D10"/>
  </mergeCells>
  <phoneticPr fontId="3" type="noConversion"/>
  <dataValidations count="2">
    <dataValidation type="list" allowBlank="1" showInputMessage="1" showErrorMessage="1" sqref="C9">
      <formula1>"ค่าก่อสร้าง,ค่าซ่อมแซม,ค่าปรับปรุง,ค่าใช้จ่าย"</formula1>
    </dataValidation>
    <dataValidation type="list" allowBlank="1" showInputMessage="1" showErrorMessage="1" sqref="A1:D1">
      <formula1>"แบบสรุปราคากลาง งานก่อสร้าง,แบบสรุปราคากลาง งานซ่อมแซม,แบบสรุปราคากลาง งานปรับปรุง,แบบสรุปราคากลาง งานอื่นๆ,แบบสรุปราคากลาง งานจัดซื้อ,แบบสรุปราคากลาง งานก่อสร้างเบื้องต้น,แบบสรุปราคากลาง งานซ่อมแซมเบื้องต้น,แบบสรุปราคากลาง งานปรับปรุง เบื้องต้น"</formula1>
    </dataValidation>
  </dataValidations>
  <printOptions horizontalCentered="1" verticalCentered="1"/>
  <pageMargins left="0.4" right="0.11811023622047245" top="0.71" bottom="0.34" header="0.39370078740157483" footer="0.31496062992125984"/>
  <pageSetup paperSize="9" orientation="portrait" verticalDpi="300" r:id="rId1"/>
  <headerFooter alignWithMargins="0">
    <oddHeader>&amp;R&amp;"TH SarabunPSK,Regular"&amp;16แบบ ปร.6  แผ่นที่ 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DF42"/>
  <sheetViews>
    <sheetView showGridLines="0" view="pageBreakPreview" topLeftCell="A24" zoomScale="145" zoomScaleSheetLayoutView="145" workbookViewId="0">
      <selection activeCell="A27" sqref="A27:I36"/>
    </sheetView>
  </sheetViews>
  <sheetFormatPr defaultRowHeight="18"/>
  <cols>
    <col min="1" max="2" width="11.42578125" style="1" customWidth="1"/>
    <col min="3" max="3" width="20.140625" style="1" customWidth="1"/>
    <col min="4" max="4" width="11.42578125" style="1" customWidth="1"/>
    <col min="5" max="5" width="4.85546875" style="1" customWidth="1"/>
    <col min="6" max="6" width="14.28515625" style="2" customWidth="1"/>
    <col min="7" max="7" width="9.28515625" style="2" customWidth="1"/>
    <col min="8" max="8" width="11.7109375" style="1" customWidth="1"/>
    <col min="9" max="9" width="9.85546875" style="1" customWidth="1"/>
    <col min="10" max="10" width="9.140625" style="1"/>
    <col min="11" max="11" width="10.140625" style="1" customWidth="1"/>
    <col min="12" max="12" width="13" style="1" customWidth="1"/>
    <col min="13" max="13" width="4.28515625" style="1" customWidth="1"/>
    <col min="14" max="14" width="14.5703125" style="1" customWidth="1"/>
    <col min="15" max="15" width="11.5703125" style="1" customWidth="1"/>
    <col min="16" max="16" width="4.42578125" style="1" customWidth="1"/>
    <col min="17" max="17" width="8.5703125" style="1" customWidth="1"/>
    <col min="18" max="20" width="7.85546875" style="2" customWidth="1"/>
    <col min="21" max="110" width="9.140625" style="1"/>
    <col min="111" max="16384" width="9.140625" style="3"/>
  </cols>
  <sheetData>
    <row r="1" spans="1:110">
      <c r="A1" s="482" t="str">
        <f>+'แบบ ปร.6'!A1</f>
        <v>แบบสรุปราคากลาง งานก่อสร้าง</v>
      </c>
      <c r="B1" s="482"/>
      <c r="C1" s="482"/>
      <c r="D1" s="482"/>
      <c r="E1" s="482"/>
      <c r="F1" s="482"/>
      <c r="G1" s="482"/>
      <c r="H1" s="482"/>
      <c r="I1" s="482"/>
      <c r="J1" s="199"/>
      <c r="K1" s="199"/>
      <c r="L1" s="199"/>
      <c r="M1" s="3"/>
      <c r="N1" s="3"/>
      <c r="O1" s="3"/>
      <c r="P1" s="3"/>
      <c r="Q1" s="3"/>
      <c r="R1" s="249"/>
      <c r="S1" s="249"/>
      <c r="T1" s="249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</row>
    <row r="2" spans="1:110">
      <c r="A2" s="200" t="s">
        <v>62</v>
      </c>
      <c r="B2" s="201" t="s">
        <v>57</v>
      </c>
      <c r="C2" s="200"/>
      <c r="D2" s="200"/>
      <c r="E2" s="200"/>
      <c r="F2" s="202"/>
      <c r="G2" s="203"/>
      <c r="H2" s="483"/>
      <c r="I2" s="483"/>
      <c r="J2" s="204"/>
      <c r="K2" s="204"/>
      <c r="L2" s="204"/>
    </row>
    <row r="3" spans="1:110">
      <c r="A3" s="6" t="s">
        <v>59</v>
      </c>
      <c r="B3" s="6" t="str">
        <f>'แบบ ปร.6'!B2</f>
        <v>งานจ้างก่อสร้างโรงเลี้ยง ศฝ.สอ.รฝ. ขนาด 500 คน จำนวน 1 หลัง</v>
      </c>
      <c r="C3" s="6"/>
      <c r="D3" s="6"/>
      <c r="E3" s="6"/>
      <c r="F3" s="171"/>
      <c r="G3" s="171"/>
      <c r="H3" s="171"/>
      <c r="I3" s="171"/>
      <c r="N3" s="3"/>
    </row>
    <row r="4" spans="1:110">
      <c r="A4" s="6" t="s">
        <v>63</v>
      </c>
      <c r="B4" s="6" t="str">
        <f>+'แบบ ปร.6'!B3</f>
        <v xml:space="preserve"> อ.สัตหีบ  จว.ชลบุรี</v>
      </c>
      <c r="C4" s="6"/>
      <c r="D4" s="171" t="s">
        <v>14</v>
      </c>
      <c r="E4" s="171" t="str">
        <f>+'แบบ ปร.6'!B4</f>
        <v>62-2-107,62-4-029,62-5-045,35-2-062</v>
      </c>
      <c r="F4" s="171"/>
      <c r="H4" s="6"/>
      <c r="I4" s="6"/>
    </row>
    <row r="5" spans="1:110">
      <c r="A5" s="6" t="s">
        <v>55</v>
      </c>
      <c r="B5" s="6"/>
      <c r="C5" s="6"/>
      <c r="D5" s="6" t="str">
        <f>+'แบบ ปร.6'!C5</f>
        <v>ศฝ.สอ.รฝ.</v>
      </c>
      <c r="E5" s="6"/>
      <c r="F5" s="6" t="s">
        <v>65</v>
      </c>
      <c r="G5" s="205"/>
      <c r="H5" s="206">
        <v>23</v>
      </c>
      <c r="I5" s="6"/>
      <c r="AK5" s="3"/>
    </row>
    <row r="6" spans="1:110" ht="18.75" thickBot="1">
      <c r="A6" s="6"/>
      <c r="B6" s="6"/>
      <c r="C6" s="6"/>
      <c r="D6" s="6"/>
      <c r="E6" s="6"/>
      <c r="F6" s="6"/>
      <c r="G6" s="205"/>
      <c r="H6" s="6"/>
      <c r="I6" s="6"/>
    </row>
    <row r="7" spans="1:110" ht="18.75" thickTop="1">
      <c r="A7" s="491" t="s">
        <v>0</v>
      </c>
      <c r="B7" s="493" t="s">
        <v>1</v>
      </c>
      <c r="C7" s="494"/>
      <c r="D7" s="494"/>
      <c r="E7" s="495"/>
      <c r="F7" s="207" t="s">
        <v>11</v>
      </c>
      <c r="G7" s="491" t="s">
        <v>7</v>
      </c>
      <c r="H7" s="207" t="s">
        <v>21</v>
      </c>
      <c r="I7" s="491" t="s">
        <v>8</v>
      </c>
      <c r="J7" s="204"/>
    </row>
    <row r="8" spans="1:110" ht="18.75" thickBot="1">
      <c r="A8" s="492"/>
      <c r="B8" s="496"/>
      <c r="C8" s="497"/>
      <c r="D8" s="497"/>
      <c r="E8" s="498"/>
      <c r="F8" s="208" t="s">
        <v>64</v>
      </c>
      <c r="G8" s="492"/>
      <c r="H8" s="208" t="s">
        <v>64</v>
      </c>
      <c r="I8" s="492"/>
      <c r="J8" s="204"/>
    </row>
    <row r="9" spans="1:110" ht="18.75" thickTop="1">
      <c r="A9" s="209">
        <v>1</v>
      </c>
      <c r="B9" s="210" t="s">
        <v>417</v>
      </c>
      <c r="C9" s="211"/>
      <c r="D9" s="212"/>
      <c r="E9" s="213"/>
      <c r="F9" s="214">
        <f>+'แบบ ปร.4_อาคาร '!I185</f>
        <v>5849274.6749999998</v>
      </c>
      <c r="G9" s="215"/>
      <c r="H9" s="216"/>
      <c r="I9" s="216" t="s">
        <v>9</v>
      </c>
    </row>
    <row r="10" spans="1:110">
      <c r="A10" s="209">
        <v>2</v>
      </c>
      <c r="B10" s="217" t="s">
        <v>279</v>
      </c>
      <c r="C10" s="212"/>
      <c r="D10" s="212"/>
      <c r="E10" s="213"/>
      <c r="F10" s="214">
        <f>+ฟฟ.!K74</f>
        <v>427409</v>
      </c>
      <c r="G10" s="215"/>
      <c r="H10" s="216"/>
      <c r="I10" s="216"/>
    </row>
    <row r="11" spans="1:110">
      <c r="A11" s="209">
        <v>3</v>
      </c>
      <c r="B11" s="217" t="s">
        <v>120</v>
      </c>
      <c r="C11" s="212"/>
      <c r="D11" s="212"/>
      <c r="E11" s="213"/>
      <c r="F11" s="214">
        <f>+ปป.ภายใน!K121</f>
        <v>718924.6</v>
      </c>
      <c r="G11" s="215"/>
      <c r="H11" s="216"/>
      <c r="I11" s="216"/>
    </row>
    <row r="12" spans="1:110">
      <c r="A12" s="209">
        <v>4</v>
      </c>
      <c r="B12" s="217" t="s">
        <v>121</v>
      </c>
      <c r="C12" s="212"/>
      <c r="D12" s="212"/>
      <c r="E12" s="213"/>
      <c r="F12" s="214">
        <f>+'ถนน+ลาน+ภูมิทัศน์'!K45</f>
        <v>1792215</v>
      </c>
      <c r="G12" s="215"/>
      <c r="H12" s="216"/>
      <c r="I12" s="216"/>
    </row>
    <row r="13" spans="1:110">
      <c r="A13" s="209">
        <v>5</v>
      </c>
      <c r="B13" s="217" t="s">
        <v>137</v>
      </c>
      <c r="C13" s="212"/>
      <c r="D13" s="212"/>
      <c r="E13" s="213"/>
      <c r="F13" s="214">
        <f>+ฟฟ.ภนอ.!I28</f>
        <v>137644</v>
      </c>
      <c r="G13" s="215"/>
      <c r="H13" s="216"/>
      <c r="I13" s="216"/>
      <c r="K13" s="253"/>
      <c r="L13" s="253"/>
    </row>
    <row r="14" spans="1:110">
      <c r="A14" s="209">
        <v>6</v>
      </c>
      <c r="B14" s="217" t="s">
        <v>138</v>
      </c>
      <c r="C14" s="212"/>
      <c r="D14" s="212"/>
      <c r="E14" s="213"/>
      <c r="F14" s="214">
        <f>+ปป.ภายนอก!K64</f>
        <v>529707.72</v>
      </c>
      <c r="G14" s="215"/>
      <c r="H14" s="216"/>
      <c r="I14" s="216"/>
      <c r="K14" s="253"/>
      <c r="L14" s="253"/>
    </row>
    <row r="15" spans="1:110">
      <c r="A15" s="209"/>
      <c r="B15" s="217"/>
      <c r="C15" s="212"/>
      <c r="D15" s="212"/>
      <c r="E15" s="213"/>
      <c r="F15" s="214"/>
      <c r="G15" s="215"/>
      <c r="H15" s="216"/>
      <c r="I15" s="216"/>
      <c r="K15" s="253"/>
      <c r="L15" s="253"/>
    </row>
    <row r="16" spans="1:110">
      <c r="A16" s="254"/>
      <c r="B16" s="217"/>
      <c r="C16" s="255"/>
      <c r="D16" s="255"/>
      <c r="E16" s="256"/>
      <c r="F16" s="215"/>
      <c r="G16" s="257"/>
      <c r="H16" s="258"/>
      <c r="I16" s="216"/>
      <c r="K16" s="253"/>
      <c r="L16" s="253"/>
    </row>
    <row r="17" spans="1:110">
      <c r="A17" s="254"/>
      <c r="B17" s="217"/>
      <c r="C17" s="255"/>
      <c r="D17" s="255"/>
      <c r="E17" s="213"/>
      <c r="F17" s="215"/>
      <c r="G17" s="257"/>
      <c r="H17" s="258"/>
      <c r="I17" s="216"/>
      <c r="K17" s="253"/>
      <c r="L17" s="253"/>
    </row>
    <row r="18" spans="1:110">
      <c r="A18" s="254"/>
      <c r="B18" s="217"/>
      <c r="C18" s="255"/>
      <c r="D18" s="255"/>
      <c r="E18" s="213"/>
      <c r="F18" s="215"/>
      <c r="G18" s="257"/>
      <c r="H18" s="258"/>
      <c r="I18" s="216"/>
      <c r="K18" s="253"/>
      <c r="L18" s="253"/>
      <c r="N18" s="259"/>
    </row>
    <row r="19" spans="1:110">
      <c r="A19" s="218"/>
      <c r="B19" s="217" t="s">
        <v>24</v>
      </c>
      <c r="C19" s="220"/>
      <c r="D19" s="220"/>
      <c r="E19" s="256"/>
      <c r="F19" s="215">
        <f>SUM(F9:F18)</f>
        <v>9455174.9949999992</v>
      </c>
      <c r="G19" s="260">
        <f>+O24</f>
        <v>1.2887</v>
      </c>
      <c r="H19" s="215">
        <f>F19*G19</f>
        <v>12184884.016056499</v>
      </c>
      <c r="I19" s="216"/>
      <c r="K19" s="253"/>
      <c r="L19" s="253"/>
    </row>
    <row r="20" spans="1:110" ht="16.5" customHeight="1" thickBot="1">
      <c r="A20" s="218"/>
      <c r="B20" s="261"/>
      <c r="C20" s="262"/>
      <c r="D20" s="262"/>
      <c r="E20" s="263"/>
      <c r="F20" s="264"/>
      <c r="G20" s="222"/>
      <c r="H20" s="223"/>
      <c r="I20" s="224"/>
      <c r="K20" s="253"/>
      <c r="L20" s="253"/>
    </row>
    <row r="21" spans="1:110">
      <c r="A21" s="265"/>
      <c r="B21" s="266" t="s">
        <v>12</v>
      </c>
      <c r="C21" s="267"/>
      <c r="D21" s="267"/>
      <c r="E21" s="268"/>
      <c r="F21" s="269"/>
      <c r="G21" s="270"/>
      <c r="H21" s="271"/>
      <c r="I21" s="272"/>
      <c r="K21" s="273" t="str">
        <f>+B2</f>
        <v>งานอาคาร</v>
      </c>
      <c r="L21" s="274"/>
      <c r="M21" s="275"/>
      <c r="N21" s="276" t="s">
        <v>86</v>
      </c>
      <c r="O21" s="277" t="s">
        <v>87</v>
      </c>
      <c r="P21" s="275"/>
      <c r="Q21" s="278"/>
      <c r="R21" s="485" t="s">
        <v>83</v>
      </c>
      <c r="S21" s="486"/>
      <c r="T21" s="487"/>
    </row>
    <row r="22" spans="1:110" ht="18.75" thickBot="1">
      <c r="A22" s="265"/>
      <c r="B22" s="279" t="s">
        <v>25</v>
      </c>
      <c r="C22" s="280"/>
      <c r="D22" s="280"/>
      <c r="E22" s="281"/>
      <c r="F22" s="282">
        <v>0.15</v>
      </c>
      <c r="G22" s="270"/>
      <c r="H22" s="271"/>
      <c r="I22" s="272"/>
      <c r="K22" s="283" t="s">
        <v>81</v>
      </c>
      <c r="L22" s="284" t="s">
        <v>13</v>
      </c>
      <c r="M22" s="275"/>
      <c r="N22" s="285">
        <f>IF( K24="&gt; 500",0,F19-K23*1000000)</f>
        <v>4455174.9949999992</v>
      </c>
      <c r="O22" s="286">
        <f>IF( K24="&gt; 500",L23,L23-L24)</f>
        <v>7.6000000000000512E-3</v>
      </c>
      <c r="P22" s="275"/>
      <c r="Q22" s="287" t="s">
        <v>81</v>
      </c>
      <c r="R22" s="288">
        <v>0</v>
      </c>
      <c r="S22" s="288">
        <v>0.05</v>
      </c>
      <c r="T22" s="288">
        <v>0.1</v>
      </c>
    </row>
    <row r="23" spans="1:110" ht="18.75" thickBot="1">
      <c r="A23" s="265"/>
      <c r="B23" s="289" t="s">
        <v>15</v>
      </c>
      <c r="C23" s="290"/>
      <c r="D23" s="290"/>
      <c r="E23" s="291"/>
      <c r="F23" s="282">
        <v>0</v>
      </c>
      <c r="G23" s="270"/>
      <c r="H23" s="292"/>
      <c r="I23" s="293"/>
      <c r="J23" s="294"/>
      <c r="K23" s="295">
        <v>5</v>
      </c>
      <c r="L23" s="296">
        <f>+HLOOKUP(F23,R22:T24,2)</f>
        <v>1.2955000000000001</v>
      </c>
      <c r="M23" s="275"/>
      <c r="N23" s="285">
        <f>IF(K23="&gt; 500",0,K24*1000000-K23*1000000)</f>
        <v>5000000</v>
      </c>
      <c r="O23" s="297">
        <f>IF( K24="&gt; 500",0,O22*N22/N23)</f>
        <v>6.7718659924000443E-3</v>
      </c>
      <c r="P23" s="275"/>
      <c r="Q23" s="287">
        <f>+K23</f>
        <v>5</v>
      </c>
      <c r="R23" s="298">
        <f>IF(F23=0,IF(F22=0%,VLOOKUP(K23,FBUILD,2),IF(F22=5%,VLOOKUP(K23,FBUILD,3),IF(F22=10%,VLOOKUP(K23,FBUILD,4),IF(F22=15%,VLOOKUP(K23,FBUILD,5),"ERROR")))))</f>
        <v>1.2955000000000001</v>
      </c>
      <c r="S23" s="299" t="b">
        <f>+IF(F23=5%,IF(F22=0%,VLOOKUP(K23,FBUILD,6),IF(F22=5%,VLOOKUP(K23,FBUILD,7),IF(F22=10%,VLOOKUP(K23,FBUILD,8),IF(F22=15%,VLOOKUP(K23,FBUILD,9),"ERROR")))))</f>
        <v>0</v>
      </c>
      <c r="T23" s="300" t="b">
        <f>+IF(F23=10%,IF(F22=0%,VLOOKUP(K23,FBUILD,10),IF(F22=5%,VLOOKUP(K23,FBUILD,11),IF(F22=10%,VLOOKUP(K23,FBUILD,12),IF(F22=15%,VLOOKUP(K23,FBUILD,13),"ERROR")))))</f>
        <v>0</v>
      </c>
    </row>
    <row r="24" spans="1:110" ht="18.75" thickBot="1">
      <c r="A24" s="265"/>
      <c r="B24" s="289" t="s">
        <v>16</v>
      </c>
      <c r="C24" s="290"/>
      <c r="D24" s="290"/>
      <c r="E24" s="291"/>
      <c r="F24" s="282">
        <v>0.06</v>
      </c>
      <c r="G24" s="270"/>
      <c r="H24" s="224"/>
      <c r="I24" s="272"/>
      <c r="J24" s="294" t="s">
        <v>10</v>
      </c>
      <c r="K24" s="301">
        <v>10</v>
      </c>
      <c r="L24" s="296">
        <f>+HLOOKUP(F23,R22:T24,3)</f>
        <v>1.2879</v>
      </c>
      <c r="M24" s="275"/>
      <c r="N24" s="302" t="s">
        <v>82</v>
      </c>
      <c r="O24" s="303">
        <f>ROUND(L23-O23,4)</f>
        <v>1.2887</v>
      </c>
      <c r="P24" s="275"/>
      <c r="Q24" s="287">
        <f>+K24</f>
        <v>10</v>
      </c>
      <c r="R24" s="304">
        <f>IF(F23=0,IF(F22=0%,VLOOKUP(K24,FBUILD,2),IF(F22=5%,VLOOKUP(K24,FBUILD,3),IF(F22=10%,VLOOKUP(K24,FBUILD,4),IF(F22=15%,VLOOKUP(K24,FBUILD,5),"ERROR")))))</f>
        <v>1.2879</v>
      </c>
      <c r="S24" s="305" t="b">
        <f>+IF(F23=5%,IF(F22=0%,VLOOKUP(K24,FBUILD,6),IF(F22=5%,VLOOKUP(K24,FBUILD,7),IF(F22=10%,VLOOKUP(K24,FBUILD,8),IF(F22=15%,VLOOKUP(K24,FBUILD,9),"ERROR")))))</f>
        <v>0</v>
      </c>
      <c r="T24" s="306" t="b">
        <f>+IF(F23=10%,IF(F22=0%,VLOOKUP(K24,FBUILD,10),IF(F22=5%,VLOOKUP(K24,FBUILD,11),IF(F22=10%,VLOOKUP(K24,FBUILD,12),IF(F22=15%,VLOOKUP(K24,FBUILD,13),"ERROR")))))</f>
        <v>0</v>
      </c>
    </row>
    <row r="25" spans="1:110" ht="18.75" thickBot="1">
      <c r="A25" s="307"/>
      <c r="B25" s="308" t="s">
        <v>17</v>
      </c>
      <c r="C25" s="227"/>
      <c r="D25" s="227"/>
      <c r="E25" s="228"/>
      <c r="F25" s="309">
        <v>7.0000000000000007E-2</v>
      </c>
      <c r="G25" s="310"/>
      <c r="H25" s="311"/>
      <c r="I25" s="312"/>
      <c r="K25" s="1" t="s">
        <v>85</v>
      </c>
    </row>
    <row r="26" spans="1:110">
      <c r="A26" s="488" t="s">
        <v>22</v>
      </c>
      <c r="B26" s="489"/>
      <c r="C26" s="489"/>
      <c r="D26" s="489"/>
      <c r="E26" s="489"/>
      <c r="F26" s="489"/>
      <c r="G26" s="490"/>
      <c r="H26" s="313">
        <f>SUM(H9:H25)</f>
        <v>12184884.016056499</v>
      </c>
      <c r="I26" s="314"/>
      <c r="K26" s="199"/>
      <c r="L26" s="315" t="s">
        <v>88</v>
      </c>
    </row>
    <row r="27" spans="1:110">
      <c r="A27" s="243"/>
      <c r="B27" s="3"/>
      <c r="C27" s="3"/>
      <c r="D27" s="3"/>
      <c r="E27" s="3"/>
      <c r="F27" s="244"/>
      <c r="G27" s="244"/>
      <c r="H27" s="244"/>
      <c r="I27" s="199"/>
      <c r="J27" s="3"/>
      <c r="K27" s="3"/>
      <c r="L27" s="3"/>
      <c r="M27" s="3"/>
      <c r="N27" s="3"/>
      <c r="O27" s="3"/>
      <c r="P27" s="3"/>
      <c r="Q27" s="3"/>
      <c r="R27" s="249"/>
      <c r="S27" s="249"/>
      <c r="T27" s="249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</row>
    <row r="28" spans="1:110">
      <c r="A28" s="316"/>
      <c r="C28" s="473" t="s">
        <v>419</v>
      </c>
      <c r="D28" s="246"/>
      <c r="E28" s="244"/>
      <c r="F28" s="3"/>
      <c r="G28" s="244"/>
      <c r="H28" s="244"/>
      <c r="I28" s="199"/>
      <c r="J28" s="3"/>
      <c r="K28" s="3"/>
      <c r="L28" s="3"/>
      <c r="M28" s="3"/>
      <c r="N28" s="3"/>
      <c r="O28" s="3"/>
      <c r="P28" s="3"/>
      <c r="Q28" s="3"/>
      <c r="R28" s="249"/>
      <c r="S28" s="249"/>
      <c r="T28" s="249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</row>
    <row r="29" spans="1:110">
      <c r="A29" s="245"/>
      <c r="B29" s="474" t="s">
        <v>420</v>
      </c>
      <c r="C29" s="499" t="s">
        <v>426</v>
      </c>
      <c r="D29" s="499"/>
      <c r="E29" s="169" t="s">
        <v>423</v>
      </c>
      <c r="F29" s="3"/>
      <c r="G29" s="246"/>
      <c r="H29" s="247"/>
      <c r="I29" s="247"/>
      <c r="J29" s="3"/>
      <c r="K29" s="246"/>
      <c r="L29" s="247"/>
      <c r="M29" s="247"/>
      <c r="N29" s="3"/>
    </row>
    <row r="30" spans="1:110">
      <c r="B30" s="474"/>
      <c r="C30" s="2"/>
      <c r="D30" s="169"/>
      <c r="E30" s="3"/>
      <c r="F30" s="3"/>
      <c r="G30" s="484"/>
      <c r="H30" s="484"/>
      <c r="I30" s="248"/>
      <c r="J30" s="3"/>
      <c r="K30" s="484"/>
      <c r="L30" s="484"/>
      <c r="M30" s="248"/>
      <c r="N30" s="3"/>
    </row>
    <row r="31" spans="1:110">
      <c r="B31" s="474" t="s">
        <v>421</v>
      </c>
      <c r="C31" s="475" t="s">
        <v>427</v>
      </c>
      <c r="D31" s="169"/>
      <c r="E31" s="169" t="s">
        <v>424</v>
      </c>
      <c r="F31" s="3"/>
      <c r="G31" s="484"/>
      <c r="H31" s="484"/>
      <c r="I31" s="248"/>
      <c r="J31" s="3"/>
      <c r="K31" s="484"/>
      <c r="L31" s="484"/>
      <c r="M31" s="248"/>
      <c r="N31" s="3"/>
    </row>
    <row r="32" spans="1:110">
      <c r="B32" s="474"/>
      <c r="C32" s="2"/>
      <c r="D32" s="169"/>
      <c r="E32" s="3"/>
      <c r="F32" s="3"/>
      <c r="G32" s="484"/>
      <c r="H32" s="484"/>
      <c r="I32" s="249"/>
      <c r="J32" s="3"/>
      <c r="K32" s="484"/>
      <c r="L32" s="484"/>
      <c r="M32" s="249"/>
      <c r="N32" s="3"/>
    </row>
    <row r="33" spans="2:14">
      <c r="B33" s="474" t="s">
        <v>422</v>
      </c>
      <c r="C33" s="475" t="s">
        <v>428</v>
      </c>
      <c r="D33" s="169"/>
      <c r="E33" s="169" t="s">
        <v>425</v>
      </c>
      <c r="F33" s="3"/>
      <c r="G33" s="484"/>
      <c r="H33" s="484"/>
      <c r="I33" s="250"/>
      <c r="J33" s="3"/>
      <c r="K33" s="484"/>
      <c r="L33" s="484"/>
      <c r="M33" s="250"/>
      <c r="N33" s="3"/>
    </row>
    <row r="34" spans="2:14">
      <c r="C34" s="2"/>
      <c r="D34" s="169"/>
      <c r="E34" s="3"/>
      <c r="F34" s="3"/>
      <c r="G34" s="484"/>
      <c r="H34" s="484"/>
      <c r="I34" s="249"/>
      <c r="J34" s="3"/>
      <c r="K34" s="484"/>
      <c r="L34" s="484"/>
      <c r="M34" s="249"/>
      <c r="N34" s="3"/>
    </row>
    <row r="35" spans="2:14">
      <c r="C35" s="2"/>
      <c r="D35" s="3"/>
      <c r="E35" s="3"/>
      <c r="F35" s="3"/>
      <c r="G35" s="484"/>
      <c r="H35" s="484"/>
      <c r="I35" s="250"/>
      <c r="J35" s="3"/>
      <c r="K35" s="484"/>
      <c r="L35" s="484"/>
      <c r="M35" s="250"/>
      <c r="N35" s="3"/>
    </row>
    <row r="36" spans="2:14">
      <c r="C36" s="251"/>
      <c r="D36" s="3"/>
      <c r="E36" s="3"/>
      <c r="F36" s="3"/>
      <c r="G36" s="484"/>
      <c r="H36" s="484"/>
      <c r="I36" s="249"/>
      <c r="J36" s="3"/>
      <c r="K36" s="484"/>
      <c r="L36" s="484"/>
      <c r="M36" s="249"/>
      <c r="N36" s="3"/>
    </row>
    <row r="37" spans="2:14">
      <c r="F37" s="3"/>
      <c r="G37" s="252"/>
      <c r="H37" s="3"/>
      <c r="I37" s="249"/>
      <c r="J37" s="3"/>
      <c r="K37" s="252"/>
      <c r="L37" s="3"/>
      <c r="M37" s="249"/>
      <c r="N37" s="3"/>
    </row>
    <row r="38" spans="2:14"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G42" s="249"/>
      <c r="H42" s="3"/>
      <c r="I42" s="3"/>
    </row>
  </sheetData>
  <dataConsolidate/>
  <mergeCells count="23">
    <mergeCell ref="G36:H36"/>
    <mergeCell ref="K30:L30"/>
    <mergeCell ref="K31:L31"/>
    <mergeCell ref="K32:L32"/>
    <mergeCell ref="K33:L33"/>
    <mergeCell ref="K34:L34"/>
    <mergeCell ref="K35:L35"/>
    <mergeCell ref="K36:L36"/>
    <mergeCell ref="G30:H30"/>
    <mergeCell ref="G31:H31"/>
    <mergeCell ref="G32:H32"/>
    <mergeCell ref="G33:H33"/>
    <mergeCell ref="G34:H34"/>
    <mergeCell ref="A1:I1"/>
    <mergeCell ref="H2:I2"/>
    <mergeCell ref="G35:H35"/>
    <mergeCell ref="R21:T21"/>
    <mergeCell ref="A26:G26"/>
    <mergeCell ref="A7:A8"/>
    <mergeCell ref="B7:E8"/>
    <mergeCell ref="G7:G8"/>
    <mergeCell ref="I7:I8"/>
    <mergeCell ref="C29:D29"/>
  </mergeCells>
  <phoneticPr fontId="3" type="noConversion"/>
  <dataValidations count="5">
    <dataValidation type="list" allowBlank="1" showInputMessage="1" showErrorMessage="1" sqref="K23:K24">
      <formula1>BUDJET</formula1>
    </dataValidation>
    <dataValidation type="list" allowBlank="1" showInputMessage="1" showErrorMessage="1" sqref="F22">
      <formula1>"0%,5%,10%,15%"</formula1>
    </dataValidation>
    <dataValidation type="list" allowBlank="1" showInputMessage="1" showErrorMessage="1" sqref="F23">
      <formula1>"0%,5%,10%"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  <dataValidation type="list" allowBlank="1" showInputMessage="1" showErrorMessage="1" sqref="H7">
      <formula1>"ค่าก่อสร้าง,ค่าซ่อมแซม,ค่าปรับปรุง,ค่าใช้จ่าย"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(ก)   แผ่นที่ 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B43"/>
  <sheetViews>
    <sheetView showGridLines="0" tabSelected="1" view="pageBreakPreview" topLeftCell="A24" zoomScaleSheetLayoutView="100" workbookViewId="0">
      <selection activeCell="C34" sqref="C34:D34"/>
    </sheetView>
  </sheetViews>
  <sheetFormatPr defaultRowHeight="18"/>
  <cols>
    <col min="1" max="2" width="11.42578125" style="1" customWidth="1"/>
    <col min="3" max="3" width="18.42578125" style="1" customWidth="1"/>
    <col min="4" max="4" width="11.42578125" style="1" customWidth="1"/>
    <col min="5" max="5" width="8.28515625" style="1" customWidth="1"/>
    <col min="6" max="6" width="12.28515625" style="2" customWidth="1"/>
    <col min="7" max="7" width="9.28515625" style="2" customWidth="1"/>
    <col min="8" max="8" width="14.28515625" style="1" customWidth="1"/>
    <col min="9" max="9" width="8.5703125" style="1" customWidth="1"/>
    <col min="10" max="106" width="9.140625" style="1"/>
    <col min="107" max="16384" width="9.140625" style="3"/>
  </cols>
  <sheetData>
    <row r="1" spans="1:106">
      <c r="A1" s="482" t="s">
        <v>72</v>
      </c>
      <c r="B1" s="482"/>
      <c r="C1" s="482"/>
      <c r="D1" s="482"/>
      <c r="E1" s="482"/>
      <c r="F1" s="482"/>
      <c r="G1" s="482"/>
      <c r="H1" s="482"/>
      <c r="I1" s="482"/>
      <c r="J1" s="199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>
      <c r="A2" s="200" t="s">
        <v>62</v>
      </c>
      <c r="B2" s="201" t="s">
        <v>57</v>
      </c>
      <c r="C2" s="200"/>
      <c r="D2" s="200"/>
      <c r="E2" s="200"/>
      <c r="F2" s="202"/>
      <c r="G2" s="203"/>
      <c r="H2" s="483"/>
      <c r="I2" s="483"/>
      <c r="J2" s="204"/>
    </row>
    <row r="3" spans="1:106">
      <c r="A3" s="6" t="s">
        <v>59</v>
      </c>
      <c r="B3" s="6" t="str">
        <f>'แบบ ปร.6'!B2</f>
        <v>งานจ้างก่อสร้างโรงเลี้ยง ศฝ.สอ.รฝ. ขนาด 500 คน จำนวน 1 หลัง</v>
      </c>
      <c r="C3" s="6"/>
      <c r="D3" s="6"/>
      <c r="E3" s="6"/>
      <c r="F3" s="171"/>
      <c r="G3" s="171"/>
      <c r="H3" s="171"/>
      <c r="I3" s="171"/>
      <c r="K3" s="3"/>
    </row>
    <row r="4" spans="1:106" ht="22.5" customHeight="1">
      <c r="A4" s="6" t="s">
        <v>63</v>
      </c>
      <c r="B4" s="6" t="str">
        <f>+'แบบ ปร.6'!B3</f>
        <v xml:space="preserve"> อ.สัตหีบ  จว.ชลบุรี</v>
      </c>
      <c r="C4" s="6"/>
      <c r="D4" s="171" t="s">
        <v>14</v>
      </c>
      <c r="E4" s="171" t="str">
        <f>+'แบบ ปร.6'!B4</f>
        <v>62-2-107,62-4-029,62-5-045,35-2-062</v>
      </c>
      <c r="F4" s="171"/>
      <c r="H4" s="6"/>
      <c r="I4" s="6"/>
      <c r="K4" s="3"/>
    </row>
    <row r="5" spans="1:106">
      <c r="A5" s="6" t="s">
        <v>55</v>
      </c>
      <c r="B5" s="6"/>
      <c r="C5" s="6"/>
      <c r="D5" s="6" t="str">
        <f>+'แบบ ปร.6'!C5</f>
        <v>ศฝ.สอ.รฝ.</v>
      </c>
      <c r="E5" s="6"/>
      <c r="F5" s="6" t="s">
        <v>65</v>
      </c>
      <c r="G5" s="205"/>
      <c r="H5" s="206">
        <v>2</v>
      </c>
      <c r="I5" s="6"/>
      <c r="AG5" s="3"/>
    </row>
    <row r="6" spans="1:106" ht="18.75" thickBot="1">
      <c r="A6" s="6"/>
      <c r="B6" s="6"/>
      <c r="C6" s="6"/>
      <c r="D6" s="6"/>
      <c r="E6" s="6"/>
      <c r="F6" s="6"/>
      <c r="G6" s="205"/>
      <c r="H6" s="6"/>
      <c r="I6" s="6"/>
    </row>
    <row r="7" spans="1:106" ht="18.75" thickTop="1">
      <c r="A7" s="491" t="s">
        <v>0</v>
      </c>
      <c r="B7" s="493" t="s">
        <v>73</v>
      </c>
      <c r="C7" s="494"/>
      <c r="D7" s="494"/>
      <c r="E7" s="495"/>
      <c r="F7" s="207" t="s">
        <v>20</v>
      </c>
      <c r="G7" s="207" t="s">
        <v>70</v>
      </c>
      <c r="H7" s="207" t="s">
        <v>21</v>
      </c>
      <c r="I7" s="491" t="s">
        <v>8</v>
      </c>
      <c r="J7" s="204"/>
    </row>
    <row r="8" spans="1:106" ht="18.75" thickBot="1">
      <c r="A8" s="492"/>
      <c r="B8" s="496"/>
      <c r="C8" s="497"/>
      <c r="D8" s="497"/>
      <c r="E8" s="498"/>
      <c r="F8" s="208" t="s">
        <v>64</v>
      </c>
      <c r="G8" s="208" t="s">
        <v>71</v>
      </c>
      <c r="H8" s="208" t="s">
        <v>64</v>
      </c>
      <c r="I8" s="492"/>
      <c r="J8" s="204"/>
    </row>
    <row r="9" spans="1:106" ht="18.75" thickTop="1">
      <c r="A9" s="209">
        <v>1</v>
      </c>
      <c r="B9" s="210" t="s">
        <v>179</v>
      </c>
      <c r="C9" s="211"/>
      <c r="D9" s="212"/>
      <c r="E9" s="213"/>
      <c r="F9" s="214">
        <f>+ครุภัณฑ์!I25</f>
        <v>665000</v>
      </c>
      <c r="G9" s="215"/>
      <c r="H9" s="216"/>
      <c r="I9" s="216" t="s">
        <v>9</v>
      </c>
    </row>
    <row r="10" spans="1:106">
      <c r="A10" s="209">
        <v>2</v>
      </c>
      <c r="B10" s="234" t="s">
        <v>409</v>
      </c>
      <c r="C10" s="212"/>
      <c r="D10" s="212"/>
      <c r="E10" s="213"/>
      <c r="F10" s="214">
        <f>+ครุภัณฑ์!I43</f>
        <v>340005</v>
      </c>
      <c r="G10" s="215"/>
      <c r="H10" s="216"/>
      <c r="I10" s="216"/>
    </row>
    <row r="11" spans="1:106">
      <c r="A11" s="209"/>
      <c r="B11" s="217"/>
      <c r="C11" s="212"/>
      <c r="D11" s="212"/>
      <c r="E11" s="213"/>
      <c r="F11" s="214"/>
      <c r="G11" s="215"/>
      <c r="H11" s="216"/>
      <c r="I11" s="216"/>
    </row>
    <row r="12" spans="1:106">
      <c r="A12" s="209"/>
      <c r="B12" s="217"/>
      <c r="C12" s="212"/>
      <c r="D12" s="212"/>
      <c r="E12" s="213"/>
      <c r="F12" s="214"/>
      <c r="G12" s="215"/>
      <c r="H12" s="216"/>
      <c r="I12" s="216"/>
    </row>
    <row r="13" spans="1:106">
      <c r="A13" s="209"/>
      <c r="B13" s="217"/>
      <c r="C13" s="212"/>
      <c r="D13" s="212"/>
      <c r="E13" s="213"/>
      <c r="F13" s="214"/>
      <c r="G13" s="215"/>
      <c r="H13" s="216"/>
      <c r="I13" s="216"/>
    </row>
    <row r="14" spans="1:106">
      <c r="A14" s="209"/>
      <c r="B14" s="217"/>
      <c r="C14" s="212"/>
      <c r="D14" s="212"/>
      <c r="E14" s="213"/>
      <c r="F14" s="214"/>
      <c r="G14" s="215"/>
      <c r="H14" s="216"/>
      <c r="I14" s="216"/>
    </row>
    <row r="15" spans="1:106">
      <c r="A15" s="209"/>
      <c r="B15" s="217"/>
      <c r="C15" s="212"/>
      <c r="D15" s="212"/>
      <c r="E15" s="213"/>
      <c r="F15" s="214"/>
      <c r="G15" s="215"/>
      <c r="H15" s="216"/>
      <c r="I15" s="216"/>
    </row>
    <row r="16" spans="1:106">
      <c r="A16" s="209"/>
      <c r="B16" s="217"/>
      <c r="C16" s="212"/>
      <c r="D16" s="212"/>
      <c r="E16" s="213"/>
      <c r="F16" s="214"/>
      <c r="G16" s="215"/>
      <c r="H16" s="216"/>
      <c r="I16" s="216"/>
    </row>
    <row r="17" spans="1:106">
      <c r="A17" s="209"/>
      <c r="B17" s="217"/>
      <c r="C17" s="212"/>
      <c r="D17" s="212"/>
      <c r="E17" s="213"/>
      <c r="F17" s="214"/>
      <c r="G17" s="215"/>
      <c r="H17" s="216"/>
      <c r="I17" s="216"/>
    </row>
    <row r="18" spans="1:106">
      <c r="A18" s="209"/>
      <c r="B18" s="217"/>
      <c r="C18" s="212"/>
      <c r="D18" s="212"/>
      <c r="E18" s="213"/>
      <c r="F18" s="214"/>
      <c r="G18" s="215"/>
      <c r="H18" s="216"/>
      <c r="I18" s="216"/>
    </row>
    <row r="19" spans="1:106">
      <c r="A19" s="209"/>
      <c r="B19" s="217"/>
      <c r="C19" s="212"/>
      <c r="D19" s="212"/>
      <c r="E19" s="213"/>
      <c r="F19" s="214"/>
      <c r="G19" s="215"/>
      <c r="H19" s="216"/>
      <c r="I19" s="216"/>
    </row>
    <row r="20" spans="1:106">
      <c r="A20" s="209"/>
      <c r="B20" s="217"/>
      <c r="C20" s="212"/>
      <c r="D20" s="212"/>
      <c r="E20" s="213"/>
      <c r="F20" s="214"/>
      <c r="G20" s="215"/>
      <c r="H20" s="216"/>
      <c r="I20" s="216"/>
    </row>
    <row r="21" spans="1:106">
      <c r="A21" s="209"/>
      <c r="B21" s="217"/>
      <c r="C21" s="212"/>
      <c r="D21" s="212"/>
      <c r="E21" s="213"/>
      <c r="F21" s="214"/>
      <c r="G21" s="215"/>
      <c r="H21" s="216"/>
      <c r="I21" s="216"/>
    </row>
    <row r="22" spans="1:106">
      <c r="A22" s="209"/>
      <c r="B22" s="217"/>
      <c r="C22" s="212"/>
      <c r="D22" s="212"/>
      <c r="E22" s="213"/>
      <c r="F22" s="214"/>
      <c r="G22" s="215"/>
      <c r="H22" s="216"/>
      <c r="I22" s="216"/>
    </row>
    <row r="23" spans="1:106">
      <c r="A23" s="218"/>
      <c r="B23" s="219"/>
      <c r="C23" s="220"/>
      <c r="D23" s="220"/>
      <c r="E23" s="221"/>
      <c r="F23" s="215"/>
      <c r="G23" s="222"/>
      <c r="H23" s="223"/>
      <c r="I23" s="224"/>
    </row>
    <row r="24" spans="1:106" ht="18.75" thickBot="1">
      <c r="A24" s="225"/>
      <c r="B24" s="226"/>
      <c r="C24" s="227"/>
      <c r="D24" s="227"/>
      <c r="E24" s="228"/>
      <c r="F24" s="229"/>
      <c r="G24" s="230"/>
      <c r="H24" s="231"/>
      <c r="I24" s="232"/>
    </row>
    <row r="25" spans="1:106">
      <c r="A25" s="233"/>
      <c r="B25" s="234" t="s">
        <v>68</v>
      </c>
      <c r="C25" s="235"/>
      <c r="D25" s="235"/>
      <c r="E25" s="236"/>
      <c r="F25" s="237">
        <f>SUM(F9:F21)</f>
        <v>1005005</v>
      </c>
      <c r="G25" s="238">
        <v>1.07</v>
      </c>
      <c r="H25" s="239">
        <f>F25*G25</f>
        <v>1075355.3500000001</v>
      </c>
      <c r="I25" s="240"/>
    </row>
    <row r="26" spans="1:106" ht="18.75" thickBot="1">
      <c r="A26" s="225"/>
      <c r="B26" s="226"/>
      <c r="C26" s="227"/>
      <c r="D26" s="227"/>
      <c r="E26" s="228"/>
      <c r="F26" s="229"/>
      <c r="G26" s="230"/>
      <c r="H26" s="225"/>
      <c r="I26" s="232"/>
    </row>
    <row r="27" spans="1:106">
      <c r="A27" s="500" t="s">
        <v>69</v>
      </c>
      <c r="B27" s="489"/>
      <c r="C27" s="489"/>
      <c r="D27" s="489"/>
      <c r="E27" s="489"/>
      <c r="F27" s="489"/>
      <c r="G27" s="501"/>
      <c r="H27" s="241">
        <f>SUM(H9:H26)</f>
        <v>1075355.3500000001</v>
      </c>
      <c r="I27" s="242"/>
    </row>
    <row r="28" spans="1:106">
      <c r="A28" s="243"/>
      <c r="B28" s="3"/>
      <c r="C28" s="3"/>
      <c r="D28" s="3"/>
      <c r="E28" s="3"/>
      <c r="F28" s="244"/>
      <c r="G28" s="244"/>
      <c r="H28" s="244"/>
      <c r="I28" s="19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</row>
    <row r="29" spans="1:106">
      <c r="A29" s="316"/>
      <c r="C29" s="473" t="s">
        <v>419</v>
      </c>
      <c r="D29" s="246"/>
      <c r="E29" s="244"/>
      <c r="F29" s="3"/>
      <c r="G29" s="244"/>
      <c r="H29" s="244"/>
      <c r="I29" s="19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</row>
    <row r="30" spans="1:106">
      <c r="A30" s="245"/>
      <c r="B30" s="474" t="s">
        <v>420</v>
      </c>
      <c r="C30" s="499" t="s">
        <v>426</v>
      </c>
      <c r="D30" s="499"/>
      <c r="E30" s="169" t="s">
        <v>423</v>
      </c>
      <c r="F30" s="3"/>
      <c r="G30" s="246"/>
      <c r="H30" s="247"/>
      <c r="I30" s="247"/>
      <c r="J30" s="3"/>
      <c r="K30" s="3"/>
    </row>
    <row r="31" spans="1:106">
      <c r="B31" s="474"/>
      <c r="C31" s="2"/>
      <c r="D31" s="169"/>
      <c r="E31" s="3"/>
      <c r="F31" s="3"/>
      <c r="G31" s="484"/>
      <c r="H31" s="484"/>
      <c r="I31" s="248"/>
      <c r="J31" s="3"/>
      <c r="K31" s="3"/>
    </row>
    <row r="32" spans="1:106">
      <c r="B32" s="474" t="s">
        <v>421</v>
      </c>
      <c r="C32" s="475" t="s">
        <v>427</v>
      </c>
      <c r="D32" s="169"/>
      <c r="E32" s="169" t="s">
        <v>424</v>
      </c>
      <c r="F32" s="3"/>
      <c r="G32" s="484"/>
      <c r="H32" s="484"/>
      <c r="I32" s="248"/>
      <c r="J32" s="3"/>
      <c r="K32" s="3"/>
    </row>
    <row r="33" spans="2:11">
      <c r="B33" s="474"/>
      <c r="C33" s="2"/>
      <c r="D33" s="169"/>
      <c r="E33" s="3"/>
      <c r="F33" s="3"/>
      <c r="G33" s="484"/>
      <c r="H33" s="484"/>
      <c r="I33" s="476"/>
      <c r="J33" s="3"/>
      <c r="K33" s="3"/>
    </row>
    <row r="34" spans="2:11">
      <c r="B34" s="474" t="s">
        <v>422</v>
      </c>
      <c r="C34" s="532" t="s">
        <v>428</v>
      </c>
      <c r="D34" s="532"/>
      <c r="E34" s="169" t="s">
        <v>425</v>
      </c>
      <c r="F34" s="3"/>
      <c r="G34" s="484"/>
      <c r="H34" s="484"/>
      <c r="I34" s="250"/>
      <c r="J34" s="3"/>
      <c r="K34" s="3"/>
    </row>
    <row r="35" spans="2:11">
      <c r="C35" s="2"/>
      <c r="D35" s="169"/>
      <c r="E35" s="3"/>
      <c r="F35" s="3"/>
      <c r="G35" s="484"/>
      <c r="H35" s="484"/>
      <c r="I35" s="476"/>
      <c r="J35" s="3"/>
      <c r="K35" s="3"/>
    </row>
    <row r="36" spans="2:11">
      <c r="C36" s="2"/>
      <c r="D36" s="3"/>
      <c r="E36" s="3"/>
      <c r="F36" s="3"/>
      <c r="G36" s="484"/>
      <c r="H36" s="484"/>
      <c r="I36" s="250"/>
      <c r="J36" s="3"/>
      <c r="K36" s="3"/>
    </row>
    <row r="37" spans="2:11">
      <c r="C37" s="251"/>
      <c r="D37" s="3"/>
      <c r="E37" s="3"/>
      <c r="F37" s="3"/>
      <c r="G37" s="484"/>
      <c r="H37" s="484"/>
      <c r="I37" s="476"/>
      <c r="J37" s="3"/>
      <c r="K37" s="3"/>
    </row>
    <row r="38" spans="2:11">
      <c r="F38" s="3"/>
      <c r="G38" s="252"/>
      <c r="H38" s="3"/>
      <c r="I38" s="249"/>
      <c r="J38" s="3"/>
      <c r="K38" s="3"/>
    </row>
    <row r="39" spans="2:11">
      <c r="F39" s="3"/>
      <c r="G39" s="3"/>
      <c r="H39" s="3"/>
      <c r="I39" s="3"/>
      <c r="J39" s="3"/>
      <c r="K39" s="3"/>
    </row>
    <row r="40" spans="2:11">
      <c r="F40" s="3"/>
      <c r="G40" s="3"/>
      <c r="H40" s="3"/>
      <c r="I40" s="3"/>
      <c r="J40" s="3"/>
      <c r="K40" s="3"/>
    </row>
    <row r="41" spans="2:11">
      <c r="F41" s="3"/>
      <c r="G41" s="3"/>
      <c r="H41" s="3"/>
      <c r="I41" s="3"/>
      <c r="J41" s="3"/>
      <c r="K41" s="3"/>
    </row>
    <row r="42" spans="2:11">
      <c r="F42" s="3"/>
      <c r="G42" s="3"/>
      <c r="H42" s="3"/>
      <c r="I42" s="3"/>
      <c r="J42" s="3"/>
      <c r="K42" s="3"/>
    </row>
    <row r="43" spans="2:11">
      <c r="G43" s="249"/>
      <c r="H43" s="3"/>
      <c r="I43" s="3"/>
    </row>
  </sheetData>
  <mergeCells count="15">
    <mergeCell ref="C34:D34"/>
    <mergeCell ref="A1:I1"/>
    <mergeCell ref="H2:I2"/>
    <mergeCell ref="A27:G27"/>
    <mergeCell ref="G31:H31"/>
    <mergeCell ref="A7:A8"/>
    <mergeCell ref="B7:E8"/>
    <mergeCell ref="I7:I8"/>
    <mergeCell ref="C30:D30"/>
    <mergeCell ref="G35:H35"/>
    <mergeCell ref="G36:H36"/>
    <mergeCell ref="G37:H37"/>
    <mergeCell ref="G32:H32"/>
    <mergeCell ref="G33:H33"/>
    <mergeCell ref="G34:H34"/>
  </mergeCells>
  <dataValidations disablePrompts="1" count="2">
    <dataValidation type="list" allowBlank="1" showInputMessage="1" showErrorMessage="1" sqref="H7">
      <formula1>"ค่าก่อสร้าง,ค่าซ่อมแซม,ค่าปรับปรุง,ค่าใช้จ่าย"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(ข)   แผ่นที่ 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189"/>
  <sheetViews>
    <sheetView view="pageBreakPreview" topLeftCell="A163" zoomScale="115" zoomScaleSheetLayoutView="115" workbookViewId="0">
      <selection sqref="A1:J183"/>
    </sheetView>
  </sheetViews>
  <sheetFormatPr defaultRowHeight="18"/>
  <cols>
    <col min="1" max="1" width="10.7109375" style="18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0" style="64" bestFit="1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4" s="169" customFormat="1" ht="21" customHeigh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</row>
    <row r="2" spans="1:14" s="174" customFormat="1" ht="21" customHeigh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4" s="169" customFormat="1" ht="21" customHeigh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">
        <v>411</v>
      </c>
      <c r="H3" s="175"/>
      <c r="I3" s="172"/>
      <c r="J3" s="171"/>
    </row>
    <row r="4" spans="1:14" s="174" customFormat="1" ht="21" customHeigh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4" s="174" customFormat="1" ht="21" customHeight="1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4" ht="21" customHeight="1" thickTop="1">
      <c r="A6" s="507" t="s">
        <v>61</v>
      </c>
      <c r="B6" s="507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4" ht="21" customHeight="1" thickBot="1">
      <c r="A7" s="508"/>
      <c r="B7" s="508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4" ht="20.100000000000001" customHeight="1" thickTop="1">
      <c r="A8" s="132"/>
      <c r="B8" s="87" t="s">
        <v>231</v>
      </c>
      <c r="C8" s="366"/>
      <c r="D8" s="104"/>
      <c r="E8" s="83"/>
      <c r="F8" s="83"/>
      <c r="G8" s="83"/>
      <c r="H8" s="105"/>
      <c r="I8" s="106"/>
      <c r="J8" s="65"/>
      <c r="L8" s="190"/>
    </row>
    <row r="9" spans="1:14" s="70" customFormat="1" ht="20.100000000000001" customHeight="1">
      <c r="A9" s="114"/>
      <c r="B9" s="67" t="s">
        <v>227</v>
      </c>
      <c r="C9" s="357">
        <v>96</v>
      </c>
      <c r="D9" s="122" t="s">
        <v>226</v>
      </c>
      <c r="E9" s="358">
        <v>4120</v>
      </c>
      <c r="F9" s="358">
        <f t="shared" ref="F9" si="0">SUM(C9*E9)</f>
        <v>395520</v>
      </c>
      <c r="G9" s="358">
        <v>790</v>
      </c>
      <c r="H9" s="358">
        <f>C9*G9</f>
        <v>75840</v>
      </c>
      <c r="I9" s="86">
        <f>SUM(F9+H9)</f>
        <v>471360</v>
      </c>
      <c r="J9" s="67"/>
      <c r="L9" s="183"/>
      <c r="M9" s="184"/>
      <c r="N9" s="184"/>
    </row>
    <row r="10" spans="1:14" ht="20.100000000000001" customHeight="1">
      <c r="A10" s="114"/>
      <c r="B10" s="67" t="s">
        <v>228</v>
      </c>
      <c r="C10" s="357">
        <v>2</v>
      </c>
      <c r="D10" s="122" t="s">
        <v>229</v>
      </c>
      <c r="E10" s="358">
        <v>15000</v>
      </c>
      <c r="F10" s="358">
        <f>SUM(C10*E10)</f>
        <v>30000</v>
      </c>
      <c r="G10" s="502" t="s">
        <v>106</v>
      </c>
      <c r="H10" s="503"/>
      <c r="I10" s="86">
        <f>SUM(F10+H10)</f>
        <v>30000</v>
      </c>
      <c r="J10" s="67"/>
    </row>
    <row r="11" spans="1:14" ht="20.100000000000001" customHeight="1">
      <c r="A11" s="114"/>
      <c r="B11" s="67" t="s">
        <v>236</v>
      </c>
      <c r="C11" s="357">
        <v>2</v>
      </c>
      <c r="D11" s="122" t="s">
        <v>226</v>
      </c>
      <c r="E11" s="358">
        <v>30000</v>
      </c>
      <c r="F11" s="358">
        <f>SUM(C11*E11)</f>
        <v>60000</v>
      </c>
      <c r="G11" s="502" t="s">
        <v>106</v>
      </c>
      <c r="H11" s="503"/>
      <c r="I11" s="86">
        <f>SUM(F11+H11)</f>
        <v>60000</v>
      </c>
      <c r="J11" s="67"/>
    </row>
    <row r="12" spans="1:14" s="70" customFormat="1" ht="20.100000000000001" customHeight="1">
      <c r="A12" s="114"/>
      <c r="B12" s="67" t="s">
        <v>230</v>
      </c>
      <c r="C12" s="88">
        <v>83</v>
      </c>
      <c r="D12" s="88" t="s">
        <v>94</v>
      </c>
      <c r="E12" s="359" t="s">
        <v>95</v>
      </c>
      <c r="F12" s="359" t="s">
        <v>95</v>
      </c>
      <c r="G12" s="358">
        <v>99</v>
      </c>
      <c r="H12" s="358">
        <f>C12*G12</f>
        <v>8217</v>
      </c>
      <c r="I12" s="86">
        <f>SUM(H12)</f>
        <v>8217</v>
      </c>
      <c r="J12" s="67"/>
      <c r="L12" s="182"/>
    </row>
    <row r="13" spans="1:14" s="70" customFormat="1" ht="20.100000000000001" customHeight="1">
      <c r="A13" s="114"/>
      <c r="B13" s="67" t="s">
        <v>140</v>
      </c>
      <c r="C13" s="357">
        <v>6</v>
      </c>
      <c r="D13" s="122" t="s">
        <v>94</v>
      </c>
      <c r="E13" s="358">
        <v>538</v>
      </c>
      <c r="F13" s="358">
        <f t="shared" ref="F13" si="1">SUM(C13*E13)</f>
        <v>3228</v>
      </c>
      <c r="G13" s="358">
        <v>91</v>
      </c>
      <c r="H13" s="358">
        <f>C13*G13</f>
        <v>546</v>
      </c>
      <c r="I13" s="86">
        <f>SUM(F13+H13)</f>
        <v>3774</v>
      </c>
      <c r="J13" s="67"/>
      <c r="L13" s="183"/>
      <c r="M13" s="184"/>
      <c r="N13" s="184"/>
    </row>
    <row r="14" spans="1:14" s="70" customFormat="1" ht="20.100000000000001" customHeight="1">
      <c r="A14" s="114"/>
      <c r="B14" s="67" t="s">
        <v>96</v>
      </c>
      <c r="C14" s="357">
        <v>3</v>
      </c>
      <c r="D14" s="122" t="s">
        <v>94</v>
      </c>
      <c r="E14" s="358">
        <v>2065</v>
      </c>
      <c r="F14" s="358">
        <f t="shared" ref="F14:F21" si="2">SUM(C14*E14)</f>
        <v>6195</v>
      </c>
      <c r="G14" s="358">
        <v>398</v>
      </c>
      <c r="H14" s="358">
        <f>C14*G14</f>
        <v>1194</v>
      </c>
      <c r="I14" s="86">
        <f>SUM(F14+H14)</f>
        <v>7389</v>
      </c>
      <c r="J14" s="67"/>
      <c r="L14" s="183"/>
      <c r="M14" s="184"/>
      <c r="N14" s="184"/>
    </row>
    <row r="15" spans="1:14" s="70" customFormat="1" ht="20.100000000000001" customHeight="1">
      <c r="A15" s="114"/>
      <c r="B15" s="67" t="s">
        <v>147</v>
      </c>
      <c r="C15" s="357">
        <v>35</v>
      </c>
      <c r="D15" s="122" t="s">
        <v>94</v>
      </c>
      <c r="E15" s="358">
        <v>2140</v>
      </c>
      <c r="F15" s="358">
        <f t="shared" si="2"/>
        <v>74900</v>
      </c>
      <c r="G15" s="358">
        <v>391</v>
      </c>
      <c r="H15" s="358">
        <f>C15*G15</f>
        <v>13685</v>
      </c>
      <c r="I15" s="86">
        <f>SUM(F15+H15)</f>
        <v>88585</v>
      </c>
      <c r="J15" s="67"/>
      <c r="L15" s="183"/>
      <c r="M15" s="184"/>
      <c r="N15" s="184"/>
    </row>
    <row r="16" spans="1:14" s="70" customFormat="1" ht="20.100000000000001" customHeight="1">
      <c r="A16" s="114"/>
      <c r="B16" s="67" t="s">
        <v>118</v>
      </c>
      <c r="C16" s="357">
        <v>189</v>
      </c>
      <c r="D16" s="122" t="s">
        <v>97</v>
      </c>
      <c r="E16" s="358">
        <v>200</v>
      </c>
      <c r="F16" s="358">
        <f t="shared" ref="F16" si="3">SUM(C16*E16)</f>
        <v>37800</v>
      </c>
      <c r="G16" s="358">
        <v>133</v>
      </c>
      <c r="H16" s="358">
        <f>C16*G16</f>
        <v>25137</v>
      </c>
      <c r="I16" s="86">
        <f>SUM(F16+H16)</f>
        <v>62937</v>
      </c>
      <c r="J16" s="67"/>
      <c r="L16" s="183"/>
      <c r="M16" s="184"/>
      <c r="N16" s="184"/>
    </row>
    <row r="17" spans="1:14" s="70" customFormat="1" ht="20.100000000000001" customHeight="1">
      <c r="A17" s="114"/>
      <c r="B17" s="67" t="s">
        <v>102</v>
      </c>
      <c r="C17" s="357"/>
      <c r="D17" s="122"/>
      <c r="E17" s="358"/>
      <c r="F17" s="358"/>
      <c r="G17" s="358"/>
      <c r="H17" s="358"/>
      <c r="I17" s="86"/>
      <c r="J17" s="67"/>
      <c r="K17" s="185"/>
      <c r="L17" s="183"/>
      <c r="M17" s="184"/>
      <c r="N17" s="184"/>
    </row>
    <row r="18" spans="1:14" ht="20.100000000000001" customHeight="1">
      <c r="A18" s="114"/>
      <c r="B18" s="67" t="s">
        <v>181</v>
      </c>
      <c r="C18" s="426">
        <v>0.44</v>
      </c>
      <c r="D18" s="357" t="s">
        <v>98</v>
      </c>
      <c r="E18" s="358">
        <v>21379</v>
      </c>
      <c r="F18" s="358">
        <f t="shared" ref="F18" si="4">SUM(C18*E18)</f>
        <v>9406.76</v>
      </c>
      <c r="G18" s="358">
        <v>4100</v>
      </c>
      <c r="H18" s="358">
        <f t="shared" ref="H18" si="5">C18*G18</f>
        <v>1804</v>
      </c>
      <c r="I18" s="86">
        <f t="shared" ref="I18" si="6">SUM(F18+H18)</f>
        <v>11210.76</v>
      </c>
      <c r="J18" s="67"/>
    </row>
    <row r="19" spans="1:14" s="70" customFormat="1" ht="20.100000000000001" customHeight="1">
      <c r="A19" s="114"/>
      <c r="B19" s="67" t="s">
        <v>182</v>
      </c>
      <c r="C19" s="427">
        <v>3.54</v>
      </c>
      <c r="D19" s="357" t="s">
        <v>98</v>
      </c>
      <c r="E19" s="358">
        <v>21540</v>
      </c>
      <c r="F19" s="358">
        <f t="shared" ref="F19" si="7">SUM(C19*E19)</f>
        <v>76251.600000000006</v>
      </c>
      <c r="G19" s="358">
        <v>3300</v>
      </c>
      <c r="H19" s="358">
        <f t="shared" ref="H19" si="8">C19*G19</f>
        <v>11682</v>
      </c>
      <c r="I19" s="86">
        <f t="shared" ref="I19" si="9">SUM(F19+H19)</f>
        <v>87933.6</v>
      </c>
      <c r="J19" s="67"/>
      <c r="K19" s="185"/>
      <c r="L19" s="183"/>
      <c r="M19" s="184"/>
      <c r="N19" s="184"/>
    </row>
    <row r="20" spans="1:14" s="70" customFormat="1" ht="20.100000000000001" customHeight="1">
      <c r="A20" s="114"/>
      <c r="B20" s="67" t="s">
        <v>99</v>
      </c>
      <c r="C20" s="357">
        <v>119</v>
      </c>
      <c r="D20" s="122" t="s">
        <v>100</v>
      </c>
      <c r="E20" s="358">
        <v>31</v>
      </c>
      <c r="F20" s="358">
        <f t="shared" si="2"/>
        <v>3689</v>
      </c>
      <c r="G20" s="359" t="s">
        <v>95</v>
      </c>
      <c r="H20" s="359" t="s">
        <v>95</v>
      </c>
      <c r="I20" s="86">
        <f>SUM(F20)</f>
        <v>3689</v>
      </c>
      <c r="J20" s="67"/>
      <c r="K20" s="185">
        <f>+C18+C19</f>
        <v>3.98</v>
      </c>
      <c r="L20" s="416">
        <f>+K20*30</f>
        <v>119.4</v>
      </c>
      <c r="M20" s="184"/>
      <c r="N20" s="184"/>
    </row>
    <row r="21" spans="1:14" s="70" customFormat="1" ht="20.100000000000001" customHeight="1">
      <c r="A21" s="114"/>
      <c r="B21" s="67" t="s">
        <v>101</v>
      </c>
      <c r="C21" s="357">
        <v>48</v>
      </c>
      <c r="D21" s="122" t="s">
        <v>100</v>
      </c>
      <c r="E21" s="360">
        <v>47</v>
      </c>
      <c r="F21" s="358">
        <f t="shared" si="2"/>
        <v>2256</v>
      </c>
      <c r="G21" s="359" t="s">
        <v>95</v>
      </c>
      <c r="H21" s="359" t="s">
        <v>95</v>
      </c>
      <c r="I21" s="86">
        <f>SUM(F21)</f>
        <v>2256</v>
      </c>
      <c r="J21" s="67"/>
      <c r="K21" s="185">
        <f>+C16</f>
        <v>189</v>
      </c>
      <c r="L21" s="182">
        <f>+K21*0.25</f>
        <v>47.25</v>
      </c>
    </row>
    <row r="22" spans="1:14" s="70" customFormat="1" ht="20.100000000000001" customHeight="1">
      <c r="A22" s="114"/>
      <c r="B22" s="67"/>
      <c r="C22" s="357"/>
      <c r="D22" s="122"/>
      <c r="E22" s="360"/>
      <c r="F22" s="358"/>
      <c r="G22" s="359"/>
      <c r="H22" s="359"/>
      <c r="I22" s="367"/>
      <c r="J22" s="67"/>
      <c r="K22" s="185"/>
      <c r="L22" s="182"/>
    </row>
    <row r="23" spans="1:14" s="70" customFormat="1" ht="20.100000000000001" customHeight="1">
      <c r="A23" s="114"/>
      <c r="B23" s="107" t="s">
        <v>9</v>
      </c>
      <c r="C23" s="192"/>
      <c r="D23" s="104"/>
      <c r="E23" s="92"/>
      <c r="F23" s="92"/>
      <c r="G23" s="92"/>
      <c r="H23" s="92"/>
      <c r="I23" s="191"/>
      <c r="J23" s="67"/>
      <c r="K23" s="185"/>
      <c r="L23" s="182"/>
    </row>
    <row r="24" spans="1:14" s="70" customFormat="1" ht="20.100000000000001" customHeight="1">
      <c r="A24" s="114"/>
      <c r="B24" s="107"/>
      <c r="C24" s="192"/>
      <c r="D24" s="104"/>
      <c r="E24" s="92"/>
      <c r="F24" s="92"/>
      <c r="G24" s="92"/>
      <c r="H24" s="92"/>
      <c r="I24" s="355"/>
      <c r="J24" s="67"/>
      <c r="K24" s="185"/>
      <c r="L24" s="182"/>
    </row>
    <row r="25" spans="1:14" s="70" customFormat="1" ht="20.100000000000001" customHeight="1">
      <c r="A25" s="114"/>
      <c r="B25" s="107" t="s">
        <v>9</v>
      </c>
      <c r="C25" s="192"/>
      <c r="D25" s="104"/>
      <c r="E25" s="92"/>
      <c r="F25" s="92"/>
      <c r="G25" s="92"/>
      <c r="H25" s="92"/>
      <c r="I25" s="355"/>
      <c r="J25" s="67"/>
      <c r="K25" s="185"/>
      <c r="L25" s="182"/>
    </row>
    <row r="26" spans="1:14" s="70" customFormat="1" ht="20.100000000000001" customHeight="1">
      <c r="A26" s="114"/>
      <c r="B26" s="107"/>
      <c r="C26" s="192"/>
      <c r="D26" s="104"/>
      <c r="E26" s="92"/>
      <c r="F26" s="92"/>
      <c r="G26" s="92"/>
      <c r="H26" s="92"/>
      <c r="I26" s="355"/>
      <c r="J26" s="67"/>
      <c r="K26" s="185"/>
      <c r="L26" s="182"/>
    </row>
    <row r="27" spans="1:14" s="70" customFormat="1" ht="20.100000000000001" customHeight="1">
      <c r="A27" s="114"/>
      <c r="B27" s="12" t="s">
        <v>9</v>
      </c>
      <c r="C27" s="118"/>
      <c r="D27" s="88"/>
      <c r="E27" s="119"/>
      <c r="F27" s="119"/>
      <c r="G27" s="188"/>
      <c r="H27" s="188"/>
      <c r="I27" s="100"/>
      <c r="J27" s="67"/>
      <c r="L27" s="182"/>
    </row>
    <row r="28" spans="1:14" s="70" customFormat="1" ht="20.100000000000001" customHeight="1">
      <c r="A28" s="114"/>
      <c r="B28" s="66" t="s">
        <v>18</v>
      </c>
      <c r="C28" s="71"/>
      <c r="D28" s="66"/>
      <c r="E28" s="73"/>
      <c r="F28" s="193">
        <f>SUM(F8:F27)</f>
        <v>699246.36</v>
      </c>
      <c r="G28" s="436"/>
      <c r="H28" s="193">
        <f>SUM(H8:H27)</f>
        <v>138105</v>
      </c>
      <c r="I28" s="116"/>
      <c r="J28" s="67"/>
      <c r="K28" s="185">
        <f>+H28+F28</f>
        <v>837351.36</v>
      </c>
      <c r="L28" s="186"/>
    </row>
    <row r="29" spans="1:14" s="70" customFormat="1" ht="20.100000000000001" customHeight="1">
      <c r="A29" s="114"/>
      <c r="B29" s="114" t="s">
        <v>53</v>
      </c>
      <c r="C29" s="71"/>
      <c r="D29" s="66"/>
      <c r="E29" s="73"/>
      <c r="F29" s="69"/>
      <c r="G29" s="436"/>
      <c r="H29" s="127"/>
      <c r="I29" s="194">
        <f>SUM(I8:I28)</f>
        <v>837351.36</v>
      </c>
      <c r="J29" s="67"/>
      <c r="L29" s="182"/>
    </row>
    <row r="30" spans="1:14" s="70" customFormat="1" ht="20.100000000000001" customHeight="1">
      <c r="A30" s="114"/>
      <c r="B30" s="87" t="s">
        <v>232</v>
      </c>
      <c r="C30" s="88"/>
      <c r="D30" s="88"/>
      <c r="E30" s="360"/>
      <c r="F30" s="358"/>
      <c r="G30" s="359"/>
      <c r="H30" s="358"/>
      <c r="I30" s="81"/>
      <c r="J30" s="67"/>
      <c r="L30" s="182"/>
    </row>
    <row r="31" spans="1:14" ht="20.100000000000001" customHeight="1">
      <c r="A31" s="114"/>
      <c r="B31" s="67" t="s">
        <v>140</v>
      </c>
      <c r="C31" s="88">
        <v>24</v>
      </c>
      <c r="D31" s="88" t="s">
        <v>94</v>
      </c>
      <c r="E31" s="360">
        <v>537</v>
      </c>
      <c r="F31" s="358">
        <f t="shared" ref="F31:F43" si="10">SUM(C31*E31)</f>
        <v>12888</v>
      </c>
      <c r="G31" s="358">
        <v>91</v>
      </c>
      <c r="H31" s="358">
        <f t="shared" ref="H31:H32" si="11">C31*G31</f>
        <v>2184</v>
      </c>
      <c r="I31" s="86">
        <f>SUM(F31+H31)</f>
        <v>15072</v>
      </c>
      <c r="J31" s="67"/>
    </row>
    <row r="32" spans="1:14" ht="20.100000000000001" customHeight="1">
      <c r="A32" s="114"/>
      <c r="B32" s="67" t="s">
        <v>147</v>
      </c>
      <c r="C32" s="88">
        <f>103+8</f>
        <v>111</v>
      </c>
      <c r="D32" s="88" t="s">
        <v>94</v>
      </c>
      <c r="E32" s="360">
        <v>2140</v>
      </c>
      <c r="F32" s="358">
        <f t="shared" si="10"/>
        <v>237540</v>
      </c>
      <c r="G32" s="358">
        <v>391</v>
      </c>
      <c r="H32" s="358">
        <f t="shared" si="11"/>
        <v>43401</v>
      </c>
      <c r="I32" s="86">
        <f t="shared" ref="I32" si="12">SUM(F32+H32)</f>
        <v>280941</v>
      </c>
      <c r="J32" s="67"/>
    </row>
    <row r="33" spans="1:10" ht="20.100000000000001" customHeight="1">
      <c r="A33" s="114"/>
      <c r="B33" s="67" t="s">
        <v>118</v>
      </c>
      <c r="C33" s="362">
        <f>853+139</f>
        <v>992</v>
      </c>
      <c r="D33" s="88" t="s">
        <v>97</v>
      </c>
      <c r="E33" s="360">
        <v>200</v>
      </c>
      <c r="F33" s="358">
        <f t="shared" ref="F33" si="13">SUM(C33*E33)</f>
        <v>198400</v>
      </c>
      <c r="G33" s="358">
        <v>133</v>
      </c>
      <c r="H33" s="358">
        <f t="shared" ref="H33" si="14">C33*G33</f>
        <v>131936</v>
      </c>
      <c r="I33" s="86">
        <f t="shared" ref="I33" si="15">SUM(F33+H33)</f>
        <v>330336</v>
      </c>
      <c r="J33" s="67"/>
    </row>
    <row r="34" spans="1:10" ht="20.100000000000001" customHeight="1">
      <c r="A34" s="114"/>
      <c r="B34" s="67" t="s">
        <v>148</v>
      </c>
      <c r="C34" s="88"/>
      <c r="D34" s="88"/>
      <c r="E34" s="360"/>
      <c r="F34" s="358"/>
      <c r="G34" s="358"/>
      <c r="H34" s="358"/>
      <c r="I34" s="86"/>
      <c r="J34" s="67"/>
    </row>
    <row r="35" spans="1:10" ht="20.100000000000001" customHeight="1">
      <c r="A35" s="114"/>
      <c r="B35" s="67" t="s">
        <v>180</v>
      </c>
      <c r="C35" s="427">
        <f>1.39+0.21</f>
        <v>1.5999999999999999</v>
      </c>
      <c r="D35" s="357" t="s">
        <v>98</v>
      </c>
      <c r="E35" s="358">
        <v>21980</v>
      </c>
      <c r="F35" s="358">
        <f t="shared" ref="F35:F38" si="16">SUM(C35*E35)</f>
        <v>35168</v>
      </c>
      <c r="G35" s="358">
        <v>4100</v>
      </c>
      <c r="H35" s="358">
        <f t="shared" ref="H35:H38" si="17">C35*G35</f>
        <v>6559.9999999999991</v>
      </c>
      <c r="I35" s="86">
        <f t="shared" ref="I35:I38" si="18">SUM(F35+H35)</f>
        <v>41728</v>
      </c>
      <c r="J35" s="67"/>
    </row>
    <row r="36" spans="1:10" ht="20.100000000000001" customHeight="1">
      <c r="A36" s="114"/>
      <c r="B36" s="67" t="s">
        <v>181</v>
      </c>
      <c r="C36" s="426">
        <v>0.92500000000000004</v>
      </c>
      <c r="D36" s="357" t="s">
        <v>98</v>
      </c>
      <c r="E36" s="358">
        <v>21379</v>
      </c>
      <c r="F36" s="358">
        <f t="shared" ref="F36" si="19">SUM(C36*E36)</f>
        <v>19775.575000000001</v>
      </c>
      <c r="G36" s="358">
        <v>4100</v>
      </c>
      <c r="H36" s="358">
        <f t="shared" ref="H36" si="20">C36*G36</f>
        <v>3792.5</v>
      </c>
      <c r="I36" s="86">
        <f t="shared" ref="I36" si="21">SUM(F36+H36)</f>
        <v>23568.075000000001</v>
      </c>
      <c r="J36" s="67"/>
    </row>
    <row r="37" spans="1:10" ht="20.100000000000001" customHeight="1">
      <c r="A37" s="114"/>
      <c r="B37" s="67" t="s">
        <v>183</v>
      </c>
      <c r="C37" s="427">
        <f>3.12+0.4</f>
        <v>3.52</v>
      </c>
      <c r="D37" s="357" t="s">
        <v>98</v>
      </c>
      <c r="E37" s="358">
        <v>21307</v>
      </c>
      <c r="F37" s="358">
        <f t="shared" si="16"/>
        <v>75000.639999999999</v>
      </c>
      <c r="G37" s="358">
        <v>3300</v>
      </c>
      <c r="H37" s="358">
        <f t="shared" si="17"/>
        <v>11616</v>
      </c>
      <c r="I37" s="86">
        <f t="shared" si="18"/>
        <v>86616.639999999999</v>
      </c>
      <c r="J37" s="67"/>
    </row>
    <row r="38" spans="1:10" ht="20.100000000000001" customHeight="1">
      <c r="A38" s="114"/>
      <c r="B38" s="67" t="s">
        <v>182</v>
      </c>
      <c r="C38" s="426">
        <f>2.735+0.83</f>
        <v>3.5649999999999999</v>
      </c>
      <c r="D38" s="357" t="s">
        <v>98</v>
      </c>
      <c r="E38" s="358">
        <v>21540</v>
      </c>
      <c r="F38" s="358">
        <f t="shared" si="16"/>
        <v>76790.100000000006</v>
      </c>
      <c r="G38" s="358">
        <v>3300</v>
      </c>
      <c r="H38" s="358">
        <f t="shared" si="17"/>
        <v>11764.5</v>
      </c>
      <c r="I38" s="86">
        <f t="shared" si="18"/>
        <v>88554.6</v>
      </c>
      <c r="J38" s="67"/>
    </row>
    <row r="39" spans="1:10" ht="20.100000000000001" customHeight="1">
      <c r="A39" s="114"/>
      <c r="B39" s="12" t="s">
        <v>190</v>
      </c>
      <c r="C39" s="362">
        <v>889</v>
      </c>
      <c r="D39" s="88" t="s">
        <v>97</v>
      </c>
      <c r="E39" s="358">
        <v>280</v>
      </c>
      <c r="F39" s="358">
        <f t="shared" ref="F39" si="22">SUM(C39*E39)</f>
        <v>248920</v>
      </c>
      <c r="G39" s="358">
        <v>25</v>
      </c>
      <c r="H39" s="358">
        <f t="shared" ref="H39" si="23">C39*G39</f>
        <v>22225</v>
      </c>
      <c r="I39" s="86">
        <f t="shared" ref="I39" si="24">SUM(F39+H39)</f>
        <v>271145</v>
      </c>
      <c r="J39" s="67"/>
    </row>
    <row r="40" spans="1:10" ht="20.100000000000001" customHeight="1">
      <c r="A40" s="114"/>
      <c r="B40" s="82" t="s">
        <v>292</v>
      </c>
      <c r="C40" s="362">
        <v>1070</v>
      </c>
      <c r="D40" s="88" t="s">
        <v>97</v>
      </c>
      <c r="E40" s="360">
        <v>47</v>
      </c>
      <c r="F40" s="358">
        <f t="shared" ref="F40:F41" si="25">SUM(C40*E40)</f>
        <v>50290</v>
      </c>
      <c r="G40" s="358">
        <v>5</v>
      </c>
      <c r="H40" s="358">
        <f t="shared" ref="H40:H41" si="26">C40*G40</f>
        <v>5350</v>
      </c>
      <c r="I40" s="86">
        <f t="shared" ref="I40:I41" si="27">SUM(F40+H40)</f>
        <v>55640</v>
      </c>
      <c r="J40" s="67"/>
    </row>
    <row r="41" spans="1:10" ht="20.100000000000001" customHeight="1">
      <c r="A41" s="114"/>
      <c r="B41" s="67" t="s">
        <v>184</v>
      </c>
      <c r="C41" s="88">
        <v>47</v>
      </c>
      <c r="D41" s="88" t="s">
        <v>94</v>
      </c>
      <c r="E41" s="360">
        <v>2140</v>
      </c>
      <c r="F41" s="358">
        <f t="shared" si="25"/>
        <v>100580</v>
      </c>
      <c r="G41" s="358">
        <v>391</v>
      </c>
      <c r="H41" s="358">
        <f t="shared" si="26"/>
        <v>18377</v>
      </c>
      <c r="I41" s="86">
        <f t="shared" si="27"/>
        <v>118957</v>
      </c>
      <c r="J41" s="67"/>
    </row>
    <row r="42" spans="1:10" ht="20.100000000000001" customHeight="1">
      <c r="A42" s="114"/>
      <c r="B42" s="67" t="s">
        <v>99</v>
      </c>
      <c r="C42" s="362">
        <v>245</v>
      </c>
      <c r="D42" s="88" t="s">
        <v>100</v>
      </c>
      <c r="E42" s="360">
        <v>31</v>
      </c>
      <c r="F42" s="358">
        <f t="shared" si="10"/>
        <v>7595</v>
      </c>
      <c r="G42" s="359" t="s">
        <v>95</v>
      </c>
      <c r="H42" s="359" t="s">
        <v>95</v>
      </c>
      <c r="I42" s="86">
        <f>SUM(F42)</f>
        <v>7595</v>
      </c>
      <c r="J42" s="67"/>
    </row>
    <row r="43" spans="1:10" ht="20.100000000000001" customHeight="1">
      <c r="A43" s="114"/>
      <c r="B43" s="67" t="s">
        <v>101</v>
      </c>
      <c r="C43" s="362">
        <v>188</v>
      </c>
      <c r="D43" s="88" t="s">
        <v>100</v>
      </c>
      <c r="E43" s="360">
        <v>47</v>
      </c>
      <c r="F43" s="358">
        <f t="shared" si="10"/>
        <v>8836</v>
      </c>
      <c r="G43" s="359" t="s">
        <v>95</v>
      </c>
      <c r="H43" s="359" t="s">
        <v>95</v>
      </c>
      <c r="I43" s="86">
        <f>SUM(F43)</f>
        <v>8836</v>
      </c>
      <c r="J43" s="67"/>
    </row>
    <row r="44" spans="1:10" ht="20.100000000000001" customHeight="1">
      <c r="A44" s="114"/>
      <c r="B44" s="67" t="s">
        <v>185</v>
      </c>
      <c r="C44" s="362">
        <v>184</v>
      </c>
      <c r="D44" s="88" t="s">
        <v>97</v>
      </c>
      <c r="E44" s="359" t="s">
        <v>95</v>
      </c>
      <c r="F44" s="359" t="s">
        <v>95</v>
      </c>
      <c r="G44" s="358">
        <v>20</v>
      </c>
      <c r="H44" s="358">
        <f>C44*G44</f>
        <v>3680</v>
      </c>
      <c r="I44" s="86">
        <f>SUM(H44)</f>
        <v>3680</v>
      </c>
      <c r="J44" s="67"/>
    </row>
    <row r="45" spans="1:10" ht="20.100000000000001" customHeight="1">
      <c r="A45" s="114"/>
      <c r="B45" s="107" t="s">
        <v>186</v>
      </c>
      <c r="C45" s="66"/>
      <c r="D45" s="104"/>
      <c r="E45" s="401"/>
      <c r="F45" s="401"/>
      <c r="G45" s="401"/>
      <c r="H45" s="401"/>
      <c r="I45" s="428"/>
      <c r="J45" s="67"/>
    </row>
    <row r="46" spans="1:10" ht="20.100000000000001" customHeight="1">
      <c r="A46" s="114"/>
      <c r="B46" s="107" t="s">
        <v>187</v>
      </c>
      <c r="C46" s="415">
        <v>116</v>
      </c>
      <c r="D46" s="104" t="s">
        <v>104</v>
      </c>
      <c r="E46" s="92">
        <v>35</v>
      </c>
      <c r="F46" s="92">
        <f>SUM(C46*E46)</f>
        <v>4060</v>
      </c>
      <c r="G46" s="429" t="s">
        <v>188</v>
      </c>
      <c r="H46" s="430" t="s">
        <v>189</v>
      </c>
      <c r="I46" s="191">
        <f>SUM(F46)</f>
        <v>4060</v>
      </c>
      <c r="J46" s="67"/>
    </row>
    <row r="47" spans="1:10" ht="20.100000000000001" customHeight="1">
      <c r="A47" s="114"/>
      <c r="B47" s="67" t="s">
        <v>194</v>
      </c>
      <c r="C47" s="362">
        <v>1601</v>
      </c>
      <c r="D47" s="88" t="s">
        <v>97</v>
      </c>
      <c r="E47" s="360">
        <v>55</v>
      </c>
      <c r="F47" s="358">
        <f t="shared" ref="F47" si="28">SUM(C47*E47)</f>
        <v>88055</v>
      </c>
      <c r="G47" s="502" t="s">
        <v>106</v>
      </c>
      <c r="H47" s="503"/>
      <c r="I47" s="86">
        <f t="shared" ref="I47" si="29">SUM(F47+H47)</f>
        <v>88055</v>
      </c>
      <c r="J47" s="67"/>
    </row>
    <row r="48" spans="1:10" ht="20.100000000000001" customHeight="1">
      <c r="A48" s="114"/>
      <c r="B48" s="67" t="s">
        <v>233</v>
      </c>
      <c r="C48" s="362">
        <v>350</v>
      </c>
      <c r="D48" s="88" t="s">
        <v>104</v>
      </c>
      <c r="E48" s="360">
        <v>15</v>
      </c>
      <c r="F48" s="358">
        <f t="shared" ref="F48" si="30">SUM(C48*E48)</f>
        <v>5250</v>
      </c>
      <c r="G48" s="502" t="s">
        <v>106</v>
      </c>
      <c r="H48" s="503"/>
      <c r="I48" s="86">
        <f t="shared" ref="I48" si="31">SUM(F48+H48)</f>
        <v>5250</v>
      </c>
      <c r="J48" s="67"/>
    </row>
    <row r="49" spans="1:12" ht="20.100000000000001" customHeight="1">
      <c r="A49" s="123"/>
      <c r="B49" s="67" t="s">
        <v>9</v>
      </c>
      <c r="C49" s="362"/>
      <c r="D49" s="88"/>
      <c r="E49" s="360"/>
      <c r="F49" s="358"/>
      <c r="G49" s="502"/>
      <c r="H49" s="503"/>
      <c r="I49" s="86" t="s">
        <v>9</v>
      </c>
      <c r="J49" s="67"/>
      <c r="K49" s="72"/>
    </row>
    <row r="50" spans="1:12" ht="20.100000000000001" customHeight="1">
      <c r="A50" s="123"/>
      <c r="B50" s="66" t="s">
        <v>18</v>
      </c>
      <c r="C50" s="71"/>
      <c r="D50" s="66"/>
      <c r="E50" s="73"/>
      <c r="F50" s="193">
        <f>SUM(F31:F48)</f>
        <v>1169148.3149999999</v>
      </c>
      <c r="G50" s="436"/>
      <c r="H50" s="193">
        <f>SUM(H31:H48)</f>
        <v>260886</v>
      </c>
      <c r="I50" s="116"/>
      <c r="J50" s="67"/>
      <c r="K50" s="72">
        <f>+F50+H50</f>
        <v>1430034.3149999999</v>
      </c>
    </row>
    <row r="51" spans="1:12" ht="20.100000000000001" customHeight="1">
      <c r="A51" s="94"/>
      <c r="B51" s="114" t="s">
        <v>53</v>
      </c>
      <c r="C51" s="71"/>
      <c r="D51" s="66"/>
      <c r="E51" s="73"/>
      <c r="F51" s="69"/>
      <c r="G51" s="436"/>
      <c r="H51" s="437"/>
      <c r="I51" s="197">
        <f>SUM(I31:I50)</f>
        <v>1430034.3149999999</v>
      </c>
      <c r="J51" s="67"/>
    </row>
    <row r="52" spans="1:12" s="70" customFormat="1" ht="20.100000000000001" customHeight="1">
      <c r="A52" s="114"/>
      <c r="B52" s="87" t="s">
        <v>149</v>
      </c>
      <c r="C52" s="88"/>
      <c r="D52" s="88"/>
      <c r="E52" s="359"/>
      <c r="F52" s="358"/>
      <c r="G52" s="359"/>
      <c r="H52" s="358"/>
      <c r="I52" s="81"/>
      <c r="J52" s="67"/>
      <c r="L52" s="182"/>
    </row>
    <row r="53" spans="1:12" ht="20.100000000000001" customHeight="1">
      <c r="A53" s="114"/>
      <c r="B53" s="67" t="s">
        <v>221</v>
      </c>
      <c r="C53" s="362">
        <v>4460</v>
      </c>
      <c r="D53" s="88" t="s">
        <v>100</v>
      </c>
      <c r="E53" s="358">
        <v>21</v>
      </c>
      <c r="F53" s="358">
        <f t="shared" ref="F53:F60" si="32">SUM(C53*E53)</f>
        <v>93660</v>
      </c>
      <c r="G53" s="359" t="s">
        <v>95</v>
      </c>
      <c r="H53" s="359" t="s">
        <v>95</v>
      </c>
      <c r="I53" s="86">
        <f>SUM(F53)</f>
        <v>93660</v>
      </c>
      <c r="J53" s="67"/>
    </row>
    <row r="54" spans="1:12" ht="20.100000000000001" customHeight="1">
      <c r="A54" s="114"/>
      <c r="B54" s="67" t="s">
        <v>222</v>
      </c>
      <c r="C54" s="357">
        <v>2720</v>
      </c>
      <c r="D54" s="88" t="s">
        <v>100</v>
      </c>
      <c r="E54" s="358">
        <v>21</v>
      </c>
      <c r="F54" s="358">
        <f t="shared" si="32"/>
        <v>57120</v>
      </c>
      <c r="G54" s="359" t="s">
        <v>95</v>
      </c>
      <c r="H54" s="359" t="s">
        <v>95</v>
      </c>
      <c r="I54" s="86">
        <f t="shared" ref="I54:I60" si="33">SUM(F54)</f>
        <v>57120</v>
      </c>
      <c r="J54" s="67"/>
    </row>
    <row r="55" spans="1:12" ht="20.100000000000001" customHeight="1">
      <c r="A55" s="114"/>
      <c r="B55" s="67" t="s">
        <v>225</v>
      </c>
      <c r="C55" s="357">
        <v>7580</v>
      </c>
      <c r="D55" s="88" t="s">
        <v>100</v>
      </c>
      <c r="E55" s="358">
        <v>21</v>
      </c>
      <c r="F55" s="358">
        <f t="shared" si="32"/>
        <v>159180</v>
      </c>
      <c r="G55" s="359" t="s">
        <v>95</v>
      </c>
      <c r="H55" s="359" t="s">
        <v>95</v>
      </c>
      <c r="I55" s="86">
        <f t="shared" si="33"/>
        <v>159180</v>
      </c>
      <c r="J55" s="67"/>
    </row>
    <row r="56" spans="1:12" ht="20.100000000000001" customHeight="1">
      <c r="A56" s="114"/>
      <c r="B56" s="67" t="s">
        <v>150</v>
      </c>
      <c r="C56" s="357">
        <v>104</v>
      </c>
      <c r="D56" s="122" t="s">
        <v>151</v>
      </c>
      <c r="E56" s="358">
        <v>200</v>
      </c>
      <c r="F56" s="358">
        <f t="shared" si="32"/>
        <v>20800</v>
      </c>
      <c r="G56" s="359" t="s">
        <v>95</v>
      </c>
      <c r="H56" s="359" t="s">
        <v>95</v>
      </c>
      <c r="I56" s="86">
        <f t="shared" si="33"/>
        <v>20800</v>
      </c>
      <c r="J56" s="67"/>
    </row>
    <row r="57" spans="1:12" ht="20.100000000000001" customHeight="1">
      <c r="A57" s="114"/>
      <c r="B57" s="412" t="s">
        <v>206</v>
      </c>
      <c r="C57" s="357">
        <v>26</v>
      </c>
      <c r="D57" s="122" t="s">
        <v>103</v>
      </c>
      <c r="E57" s="358">
        <v>350</v>
      </c>
      <c r="F57" s="358">
        <f t="shared" si="32"/>
        <v>9100</v>
      </c>
      <c r="G57" s="359" t="s">
        <v>95</v>
      </c>
      <c r="H57" s="359" t="s">
        <v>95</v>
      </c>
      <c r="I57" s="86">
        <f t="shared" si="33"/>
        <v>9100</v>
      </c>
      <c r="J57" s="67"/>
    </row>
    <row r="58" spans="1:12" ht="20.100000000000001" customHeight="1">
      <c r="A58" s="114"/>
      <c r="B58" s="412" t="s">
        <v>192</v>
      </c>
      <c r="C58" s="357">
        <v>13</v>
      </c>
      <c r="D58" s="122" t="s">
        <v>103</v>
      </c>
      <c r="E58" s="358">
        <v>300</v>
      </c>
      <c r="F58" s="358">
        <f t="shared" si="32"/>
        <v>3900</v>
      </c>
      <c r="G58" s="359" t="s">
        <v>95</v>
      </c>
      <c r="H58" s="359" t="s">
        <v>95</v>
      </c>
      <c r="I58" s="86">
        <f t="shared" si="33"/>
        <v>3900</v>
      </c>
      <c r="J58" s="67"/>
    </row>
    <row r="59" spans="1:12" ht="20.100000000000001" customHeight="1">
      <c r="A59" s="114"/>
      <c r="B59" s="67" t="s">
        <v>152</v>
      </c>
      <c r="C59" s="357">
        <v>19</v>
      </c>
      <c r="D59" s="122" t="s">
        <v>100</v>
      </c>
      <c r="E59" s="358">
        <v>23</v>
      </c>
      <c r="F59" s="358">
        <f t="shared" si="32"/>
        <v>437</v>
      </c>
      <c r="G59" s="359" t="s">
        <v>95</v>
      </c>
      <c r="H59" s="359" t="s">
        <v>95</v>
      </c>
      <c r="I59" s="86">
        <f t="shared" si="33"/>
        <v>437</v>
      </c>
      <c r="J59" s="67"/>
    </row>
    <row r="60" spans="1:12" ht="20.100000000000001" customHeight="1">
      <c r="A60" s="114"/>
      <c r="B60" s="67" t="s">
        <v>207</v>
      </c>
      <c r="C60" s="357">
        <v>24</v>
      </c>
      <c r="D60" s="122" t="s">
        <v>103</v>
      </c>
      <c r="E60" s="358">
        <v>500</v>
      </c>
      <c r="F60" s="358">
        <f t="shared" si="32"/>
        <v>12000</v>
      </c>
      <c r="G60" s="359" t="s">
        <v>95</v>
      </c>
      <c r="H60" s="359" t="s">
        <v>95</v>
      </c>
      <c r="I60" s="86">
        <f t="shared" si="33"/>
        <v>12000</v>
      </c>
      <c r="J60" s="67"/>
    </row>
    <row r="61" spans="1:12" ht="20.100000000000001" customHeight="1">
      <c r="A61" s="114"/>
      <c r="B61" s="67" t="s">
        <v>191</v>
      </c>
      <c r="C61" s="357">
        <v>14760</v>
      </c>
      <c r="D61" s="88" t="s">
        <v>100</v>
      </c>
      <c r="E61" s="359" t="s">
        <v>95</v>
      </c>
      <c r="F61" s="359" t="s">
        <v>95</v>
      </c>
      <c r="G61" s="358">
        <v>12</v>
      </c>
      <c r="H61" s="358">
        <f>SUM(C61*G61)</f>
        <v>177120</v>
      </c>
      <c r="I61" s="86">
        <f>SUM(H61)</f>
        <v>177120</v>
      </c>
      <c r="J61" s="67"/>
      <c r="K61" s="431">
        <f>+C53+C54+C55</f>
        <v>14760</v>
      </c>
    </row>
    <row r="62" spans="1:12" ht="20.100000000000001" customHeight="1">
      <c r="A62" s="114"/>
      <c r="B62" s="67" t="s">
        <v>153</v>
      </c>
      <c r="C62" s="357">
        <v>936</v>
      </c>
      <c r="D62" s="122" t="s">
        <v>97</v>
      </c>
      <c r="E62" s="358">
        <v>150</v>
      </c>
      <c r="F62" s="358">
        <f>SUM(C62*E62)</f>
        <v>140400</v>
      </c>
      <c r="G62" s="502" t="s">
        <v>106</v>
      </c>
      <c r="H62" s="503"/>
      <c r="I62" s="86">
        <f>SUM(F62+H62)</f>
        <v>140400</v>
      </c>
      <c r="J62" s="67"/>
    </row>
    <row r="63" spans="1:12" s="70" customFormat="1" ht="20.100000000000001" customHeight="1">
      <c r="A63" s="114"/>
      <c r="B63" s="67"/>
      <c r="C63" s="189"/>
      <c r="D63" s="88"/>
      <c r="E63" s="113"/>
      <c r="F63" s="113"/>
      <c r="G63" s="113"/>
      <c r="H63" s="113"/>
      <c r="I63" s="93"/>
      <c r="J63" s="67"/>
      <c r="L63" s="182"/>
    </row>
    <row r="64" spans="1:12" s="70" customFormat="1" ht="20.100000000000001" customHeight="1">
      <c r="A64" s="123"/>
      <c r="B64" s="67"/>
      <c r="C64" s="189"/>
      <c r="D64" s="88"/>
      <c r="E64" s="113"/>
      <c r="F64" s="113"/>
      <c r="G64" s="113"/>
      <c r="H64" s="113"/>
      <c r="I64" s="93"/>
      <c r="J64" s="67"/>
      <c r="L64" s="182"/>
    </row>
    <row r="65" spans="1:12" s="70" customFormat="1" ht="20.100000000000001" customHeight="1">
      <c r="A65" s="123"/>
      <c r="B65" s="67" t="s">
        <v>9</v>
      </c>
      <c r="C65" s="189" t="s">
        <v>9</v>
      </c>
      <c r="D65" s="88"/>
      <c r="E65" s="113" t="s">
        <v>9</v>
      </c>
      <c r="F65" s="113"/>
      <c r="G65" s="113"/>
      <c r="H65" s="113"/>
      <c r="I65" s="93"/>
      <c r="J65" s="67"/>
      <c r="L65" s="182"/>
    </row>
    <row r="66" spans="1:12" s="70" customFormat="1" ht="20.100000000000001" customHeight="1">
      <c r="A66" s="123"/>
      <c r="B66" s="67"/>
      <c r="C66" s="189"/>
      <c r="D66" s="88"/>
      <c r="E66" s="113"/>
      <c r="F66" s="113"/>
      <c r="G66" s="113"/>
      <c r="H66" s="113"/>
      <c r="I66" s="93"/>
      <c r="J66" s="67"/>
      <c r="L66" s="182"/>
    </row>
    <row r="67" spans="1:12" s="70" customFormat="1" ht="20.100000000000001" customHeight="1">
      <c r="A67" s="123"/>
      <c r="B67" s="67"/>
      <c r="C67" s="189"/>
      <c r="D67" s="88"/>
      <c r="E67" s="113"/>
      <c r="F67" s="113"/>
      <c r="G67" s="113"/>
      <c r="H67" s="113"/>
      <c r="I67" s="93"/>
      <c r="J67" s="67"/>
      <c r="L67" s="182"/>
    </row>
    <row r="68" spans="1:12" s="70" customFormat="1" ht="20.100000000000001" customHeight="1">
      <c r="A68" s="123"/>
      <c r="B68" s="67" t="s">
        <v>9</v>
      </c>
      <c r="C68" s="189"/>
      <c r="D68" s="88"/>
      <c r="E68" s="113"/>
      <c r="F68" s="113"/>
      <c r="G68" s="113"/>
      <c r="H68" s="113"/>
      <c r="I68" s="93"/>
      <c r="J68" s="67"/>
      <c r="L68" s="182"/>
    </row>
    <row r="69" spans="1:12" s="70" customFormat="1" ht="20.100000000000001" customHeight="1">
      <c r="A69" s="123"/>
      <c r="B69" s="67"/>
      <c r="C69" s="189"/>
      <c r="D69" s="88"/>
      <c r="E69" s="113"/>
      <c r="F69" s="113"/>
      <c r="G69" s="113"/>
      <c r="H69" s="113"/>
      <c r="I69" s="93"/>
      <c r="J69" s="67"/>
      <c r="L69" s="182"/>
    </row>
    <row r="70" spans="1:12" ht="20.100000000000001" customHeight="1">
      <c r="A70" s="123"/>
      <c r="B70" s="68" t="s">
        <v>9</v>
      </c>
      <c r="C70" s="71"/>
      <c r="D70" s="66"/>
      <c r="E70" s="188"/>
      <c r="F70" s="188"/>
      <c r="G70" s="113"/>
      <c r="H70" s="113"/>
      <c r="I70" s="86"/>
      <c r="J70" s="67"/>
      <c r="K70" s="72"/>
    </row>
    <row r="71" spans="1:12" ht="20.100000000000001" customHeight="1">
      <c r="A71" s="123"/>
      <c r="B71" s="68"/>
      <c r="C71" s="71"/>
      <c r="D71" s="66"/>
      <c r="E71" s="188"/>
      <c r="F71" s="188"/>
      <c r="G71" s="128"/>
      <c r="H71" s="113"/>
      <c r="I71" s="86"/>
      <c r="J71" s="67"/>
      <c r="K71" s="72"/>
    </row>
    <row r="72" spans="1:12" ht="20.100000000000001" customHeight="1">
      <c r="A72" s="123"/>
      <c r="B72" s="66" t="s">
        <v>18</v>
      </c>
      <c r="C72" s="71"/>
      <c r="D72" s="66"/>
      <c r="E72" s="73"/>
      <c r="F72" s="193">
        <f>SUM(F53:F70)</f>
        <v>496597</v>
      </c>
      <c r="G72" s="436"/>
      <c r="H72" s="193">
        <f>SUM(H53:H70)</f>
        <v>177120</v>
      </c>
      <c r="I72" s="116"/>
      <c r="J72" s="67"/>
      <c r="K72" s="72">
        <f>+H72+F72</f>
        <v>673717</v>
      </c>
    </row>
    <row r="73" spans="1:12" ht="20.100000000000001" customHeight="1">
      <c r="A73" s="94"/>
      <c r="B73" s="114" t="s">
        <v>53</v>
      </c>
      <c r="C73" s="71"/>
      <c r="D73" s="66"/>
      <c r="E73" s="73"/>
      <c r="F73" s="69"/>
      <c r="G73" s="436"/>
      <c r="H73" s="437"/>
      <c r="I73" s="197">
        <f>SUM(I53:I72)</f>
        <v>673717</v>
      </c>
      <c r="J73" s="67"/>
    </row>
    <row r="74" spans="1:12" s="70" customFormat="1" ht="20.100000000000001" customHeight="1">
      <c r="A74" s="114"/>
      <c r="B74" s="87" t="s">
        <v>105</v>
      </c>
      <c r="C74" s="88"/>
      <c r="D74" s="88"/>
      <c r="E74" s="363"/>
      <c r="F74" s="363"/>
      <c r="G74" s="363"/>
      <c r="H74" s="363"/>
      <c r="I74" s="86"/>
      <c r="J74" s="67"/>
      <c r="L74" s="182"/>
    </row>
    <row r="75" spans="1:12" ht="20.100000000000001" customHeight="1">
      <c r="A75" s="114"/>
      <c r="B75" s="67" t="s">
        <v>195</v>
      </c>
      <c r="C75" s="357">
        <v>1102</v>
      </c>
      <c r="D75" s="88" t="s">
        <v>97</v>
      </c>
      <c r="E75" s="360">
        <f>420+20+125</f>
        <v>565</v>
      </c>
      <c r="F75" s="358">
        <f>SUM(C75*E75)</f>
        <v>622630</v>
      </c>
      <c r="G75" s="358">
        <v>70</v>
      </c>
      <c r="H75" s="358">
        <f>SUM(C75*G75)</f>
        <v>77140</v>
      </c>
      <c r="I75" s="86">
        <f t="shared" ref="I75" si="34">SUM(F75+H75)</f>
        <v>699770</v>
      </c>
      <c r="J75" s="67"/>
    </row>
    <row r="76" spans="1:12" ht="20.100000000000001" customHeight="1">
      <c r="A76" s="114"/>
      <c r="B76" s="67" t="s">
        <v>205</v>
      </c>
      <c r="C76" s="357">
        <v>64</v>
      </c>
      <c r="D76" s="88" t="s">
        <v>97</v>
      </c>
      <c r="E76" s="79">
        <v>650</v>
      </c>
      <c r="F76" s="78">
        <f t="shared" ref="F76" si="35">SUM(C76*E76)</f>
        <v>41600</v>
      </c>
      <c r="G76" s="432" t="s">
        <v>193</v>
      </c>
      <c r="H76" s="196" t="s">
        <v>189</v>
      </c>
      <c r="I76" s="191">
        <f>SUM(F76)</f>
        <v>41600</v>
      </c>
      <c r="J76" s="67"/>
    </row>
    <row r="77" spans="1:12" ht="20.100000000000001" customHeight="1">
      <c r="A77" s="114"/>
      <c r="B77" s="67" t="s">
        <v>196</v>
      </c>
      <c r="C77" s="357">
        <v>50</v>
      </c>
      <c r="D77" s="88" t="s">
        <v>104</v>
      </c>
      <c r="E77" s="360">
        <v>340</v>
      </c>
      <c r="F77" s="358">
        <f>SUM(C77*E77)</f>
        <v>17000</v>
      </c>
      <c r="G77" s="358">
        <v>50</v>
      </c>
      <c r="H77" s="358">
        <f>SUM(C77*G77)</f>
        <v>2500</v>
      </c>
      <c r="I77" s="86">
        <f t="shared" ref="I77" si="36">SUM(F77+H77)</f>
        <v>19500</v>
      </c>
      <c r="J77" s="67"/>
    </row>
    <row r="78" spans="1:12" ht="20.100000000000001" customHeight="1">
      <c r="A78" s="114"/>
      <c r="B78" s="67" t="s">
        <v>197</v>
      </c>
      <c r="C78" s="357">
        <v>45</v>
      </c>
      <c r="D78" s="88" t="s">
        <v>104</v>
      </c>
      <c r="E78" s="360">
        <v>220</v>
      </c>
      <c r="F78" s="358">
        <f>SUM(C78*E78)</f>
        <v>9900</v>
      </c>
      <c r="G78" s="358">
        <v>50</v>
      </c>
      <c r="H78" s="358">
        <f>SUM(C78*G78)</f>
        <v>2250</v>
      </c>
      <c r="I78" s="86">
        <f t="shared" ref="I78" si="37">SUM(F78+H78)</f>
        <v>12150</v>
      </c>
      <c r="J78" s="67"/>
    </row>
    <row r="79" spans="1:12" ht="20.100000000000001" customHeight="1">
      <c r="A79" s="66"/>
      <c r="B79" s="67"/>
      <c r="C79" s="357"/>
      <c r="D79" s="122"/>
      <c r="E79" s="358"/>
      <c r="F79" s="358"/>
      <c r="G79" s="502"/>
      <c r="H79" s="503"/>
      <c r="I79" s="86"/>
      <c r="J79" s="67"/>
    </row>
    <row r="80" spans="1:12" ht="20.100000000000001" customHeight="1">
      <c r="A80" s="114"/>
      <c r="B80" s="68"/>
      <c r="C80" s="66"/>
      <c r="D80" s="66"/>
      <c r="E80" s="79"/>
      <c r="F80" s="78"/>
      <c r="G80" s="78"/>
      <c r="H80" s="78"/>
      <c r="I80" s="390"/>
      <c r="J80" s="67"/>
    </row>
    <row r="81" spans="1:15" ht="20.100000000000001" customHeight="1">
      <c r="A81" s="114"/>
      <c r="B81" s="87" t="s">
        <v>107</v>
      </c>
      <c r="C81" s="357"/>
      <c r="D81" s="122"/>
      <c r="E81" s="360"/>
      <c r="F81" s="358"/>
      <c r="G81" s="358"/>
      <c r="H81" s="358"/>
      <c r="I81" s="81"/>
      <c r="J81" s="67"/>
      <c r="K81" s="64" t="s">
        <v>9</v>
      </c>
    </row>
    <row r="82" spans="1:15" s="70" customFormat="1" ht="20.100000000000001" customHeight="1">
      <c r="A82" s="123"/>
      <c r="B82" s="67" t="s">
        <v>154</v>
      </c>
      <c r="C82" s="88">
        <v>850</v>
      </c>
      <c r="D82" s="88" t="s">
        <v>97</v>
      </c>
      <c r="E82" s="360">
        <v>305</v>
      </c>
      <c r="F82" s="358">
        <f>SUM(C82*E82)</f>
        <v>259250</v>
      </c>
      <c r="G82" s="358">
        <v>75</v>
      </c>
      <c r="H82" s="358">
        <f>SUM(C82*G82)</f>
        <v>63750</v>
      </c>
      <c r="I82" s="86">
        <f t="shared" ref="I82:I84" si="38">SUM(F82+H82)</f>
        <v>323000</v>
      </c>
      <c r="J82" s="67"/>
      <c r="K82" s="70">
        <f>18.2*48</f>
        <v>873.59999999999991</v>
      </c>
      <c r="L82" s="182">
        <f>+K82-24</f>
        <v>849.59999999999991</v>
      </c>
    </row>
    <row r="83" spans="1:15" s="70" customFormat="1" ht="20.100000000000001" customHeight="1">
      <c r="A83" s="123"/>
      <c r="B83" s="67" t="s">
        <v>155</v>
      </c>
      <c r="C83" s="88"/>
      <c r="D83" s="88"/>
      <c r="E83" s="360"/>
      <c r="F83" s="358"/>
      <c r="G83" s="358"/>
      <c r="H83" s="358"/>
      <c r="I83" s="86"/>
      <c r="J83" s="67"/>
      <c r="L83" s="182"/>
    </row>
    <row r="84" spans="1:15" s="70" customFormat="1" ht="20.100000000000001" customHeight="1">
      <c r="A84" s="123"/>
      <c r="B84" s="67" t="s">
        <v>156</v>
      </c>
      <c r="C84" s="362">
        <v>25</v>
      </c>
      <c r="D84" s="88" t="s">
        <v>97</v>
      </c>
      <c r="E84" s="360">
        <v>335</v>
      </c>
      <c r="F84" s="358">
        <f>SUM(C84*E84)</f>
        <v>8375</v>
      </c>
      <c r="G84" s="358">
        <v>75</v>
      </c>
      <c r="H84" s="358">
        <f>SUM(C84*G84)</f>
        <v>1875</v>
      </c>
      <c r="I84" s="86">
        <f t="shared" si="38"/>
        <v>10250</v>
      </c>
      <c r="J84" s="67"/>
      <c r="L84" s="182"/>
    </row>
    <row r="85" spans="1:15" ht="18.95" customHeight="1">
      <c r="A85" s="114"/>
      <c r="B85" s="438" t="s">
        <v>200</v>
      </c>
      <c r="C85" s="71"/>
      <c r="D85" s="66"/>
      <c r="E85" s="69"/>
      <c r="F85" s="69"/>
      <c r="G85" s="69"/>
      <c r="H85" s="69"/>
      <c r="I85" s="112"/>
      <c r="J85" s="67"/>
      <c r="K85" s="72"/>
    </row>
    <row r="86" spans="1:15" ht="18" customHeight="1">
      <c r="A86" s="114"/>
      <c r="B86" s="67" t="s">
        <v>201</v>
      </c>
      <c r="C86" s="66">
        <v>207</v>
      </c>
      <c r="D86" s="66" t="s">
        <v>97</v>
      </c>
      <c r="E86" s="78">
        <v>445</v>
      </c>
      <c r="F86" s="78">
        <f t="shared" ref="F86:F89" si="39">SUM(C86*E86)</f>
        <v>92115</v>
      </c>
      <c r="G86" s="78">
        <v>70</v>
      </c>
      <c r="H86" s="78">
        <f>C86*G86</f>
        <v>14490</v>
      </c>
      <c r="I86" s="191">
        <f>SUM(F86+H86)</f>
        <v>106605</v>
      </c>
      <c r="J86" s="67"/>
      <c r="K86" s="72"/>
      <c r="M86" s="64" t="s">
        <v>9</v>
      </c>
    </row>
    <row r="87" spans="1:15" ht="18.95" customHeight="1">
      <c r="A87" s="114"/>
      <c r="B87" s="68" t="s">
        <v>202</v>
      </c>
      <c r="C87" s="71">
        <v>143</v>
      </c>
      <c r="D87" s="66" t="s">
        <v>104</v>
      </c>
      <c r="E87" s="78">
        <v>260</v>
      </c>
      <c r="F87" s="78">
        <f t="shared" si="39"/>
        <v>37180</v>
      </c>
      <c r="G87" s="78">
        <v>50</v>
      </c>
      <c r="H87" s="78">
        <f>C87*G87</f>
        <v>7150</v>
      </c>
      <c r="I87" s="191">
        <f>SUM(F87+H87)</f>
        <v>44330</v>
      </c>
      <c r="J87" s="67"/>
      <c r="K87" s="71">
        <v>242</v>
      </c>
    </row>
    <row r="88" spans="1:15" ht="18.95" customHeight="1">
      <c r="A88" s="114"/>
      <c r="B88" s="68" t="s">
        <v>203</v>
      </c>
      <c r="C88" s="71">
        <v>133</v>
      </c>
      <c r="D88" s="66" t="s">
        <v>104</v>
      </c>
      <c r="E88" s="78">
        <v>260</v>
      </c>
      <c r="F88" s="78">
        <f t="shared" si="39"/>
        <v>34580</v>
      </c>
      <c r="G88" s="78">
        <v>50</v>
      </c>
      <c r="H88" s="78">
        <f t="shared" ref="H88:H89" si="40">C88*G88</f>
        <v>6650</v>
      </c>
      <c r="I88" s="191">
        <f t="shared" ref="I88:I89" si="41">SUM(F88+H88)</f>
        <v>41230</v>
      </c>
      <c r="J88" s="67"/>
    </row>
    <row r="89" spans="1:15" ht="18.95" customHeight="1">
      <c r="A89" s="114"/>
      <c r="B89" s="68" t="s">
        <v>204</v>
      </c>
      <c r="C89" s="71">
        <v>143</v>
      </c>
      <c r="D89" s="66" t="s">
        <v>104</v>
      </c>
      <c r="E89" s="78">
        <v>260</v>
      </c>
      <c r="F89" s="78">
        <f t="shared" si="39"/>
        <v>37180</v>
      </c>
      <c r="G89" s="78">
        <v>50</v>
      </c>
      <c r="H89" s="78">
        <f t="shared" si="40"/>
        <v>7150</v>
      </c>
      <c r="I89" s="191">
        <f t="shared" si="41"/>
        <v>44330</v>
      </c>
      <c r="J89" s="67"/>
      <c r="K89" s="72"/>
      <c r="M89" s="64" t="s">
        <v>9</v>
      </c>
    </row>
    <row r="90" spans="1:15" ht="18.95" customHeight="1">
      <c r="A90" s="123"/>
      <c r="B90" s="68"/>
      <c r="C90" s="71"/>
      <c r="D90" s="66"/>
      <c r="E90" s="78"/>
      <c r="F90" s="78"/>
      <c r="G90" s="78"/>
      <c r="H90" s="356"/>
      <c r="I90" s="355"/>
      <c r="J90" s="67"/>
      <c r="K90" s="72"/>
    </row>
    <row r="91" spans="1:15" ht="18.95" customHeight="1">
      <c r="A91" s="123"/>
      <c r="B91" s="68"/>
      <c r="C91" s="71"/>
      <c r="D91" s="66"/>
      <c r="E91" s="78"/>
      <c r="F91" s="78"/>
      <c r="G91" s="78"/>
      <c r="H91" s="356"/>
      <c r="I91" s="355"/>
      <c r="J91" s="67"/>
      <c r="K91" s="72"/>
    </row>
    <row r="92" spans="1:15" ht="20.100000000000001" customHeight="1">
      <c r="A92" s="123"/>
      <c r="B92" s="67" t="s">
        <v>9</v>
      </c>
      <c r="C92" s="362"/>
      <c r="D92" s="88"/>
      <c r="E92" s="360"/>
      <c r="F92" s="358"/>
      <c r="G92" s="359"/>
      <c r="H92" s="434"/>
      <c r="I92" s="86"/>
      <c r="J92" s="67"/>
      <c r="K92" s="72"/>
    </row>
    <row r="93" spans="1:15" s="169" customFormat="1" ht="20.100000000000001" customHeight="1">
      <c r="A93" s="123"/>
      <c r="B93" s="68"/>
      <c r="C93" s="71"/>
      <c r="D93" s="66"/>
      <c r="E93" s="188"/>
      <c r="F93" s="188"/>
      <c r="G93" s="128"/>
      <c r="H93" s="113"/>
      <c r="I93" s="86"/>
      <c r="J93" s="67"/>
      <c r="K93" s="72"/>
      <c r="M93" s="64"/>
      <c r="N93" s="64"/>
      <c r="O93" s="64"/>
    </row>
    <row r="94" spans="1:15" s="169" customFormat="1" ht="20.100000000000001" customHeight="1">
      <c r="A94" s="123"/>
      <c r="B94" s="66" t="s">
        <v>18</v>
      </c>
      <c r="C94" s="71"/>
      <c r="D94" s="66"/>
      <c r="E94" s="73"/>
      <c r="F94" s="193">
        <f>SUM(F75:F93)</f>
        <v>1159810</v>
      </c>
      <c r="G94" s="436"/>
      <c r="H94" s="193">
        <f>SUM(H75:H92)</f>
        <v>182955</v>
      </c>
      <c r="I94" s="116"/>
      <c r="J94" s="67"/>
      <c r="K94" s="72">
        <f>+H94+F94</f>
        <v>1342765</v>
      </c>
      <c r="M94" s="64"/>
      <c r="N94" s="64"/>
      <c r="O94" s="64"/>
    </row>
    <row r="95" spans="1:15" s="169" customFormat="1" ht="20.100000000000001" customHeight="1">
      <c r="A95" s="94"/>
      <c r="B95" s="114" t="s">
        <v>53</v>
      </c>
      <c r="C95" s="71"/>
      <c r="D95" s="66"/>
      <c r="E95" s="73"/>
      <c r="F95" s="69"/>
      <c r="G95" s="436"/>
      <c r="H95" s="437"/>
      <c r="I95" s="197">
        <f>SUM(I75:I94)</f>
        <v>1342765</v>
      </c>
      <c r="J95" s="67"/>
      <c r="K95" s="64"/>
      <c r="M95" s="64"/>
      <c r="N95" s="64"/>
      <c r="O95" s="64"/>
    </row>
    <row r="96" spans="1:15" s="70" customFormat="1" ht="20.100000000000001" customHeight="1">
      <c r="A96" s="114"/>
      <c r="B96" s="87" t="s">
        <v>157</v>
      </c>
      <c r="C96" s="362"/>
      <c r="D96" s="88"/>
      <c r="E96" s="360"/>
      <c r="F96" s="358"/>
      <c r="G96" s="359"/>
      <c r="H96" s="359"/>
      <c r="I96" s="86"/>
      <c r="J96" s="67"/>
      <c r="L96" s="182"/>
    </row>
    <row r="97" spans="1:13" ht="20.100000000000001" customHeight="1">
      <c r="A97" s="114"/>
      <c r="B97" s="67" t="s">
        <v>208</v>
      </c>
      <c r="C97" s="362">
        <v>319</v>
      </c>
      <c r="D97" s="88" t="s">
        <v>97</v>
      </c>
      <c r="E97" s="360">
        <v>250</v>
      </c>
      <c r="F97" s="358">
        <f t="shared" ref="F97:F102" si="42">SUM(C97*E97)</f>
        <v>79750</v>
      </c>
      <c r="G97" s="358">
        <v>56</v>
      </c>
      <c r="H97" s="358">
        <f t="shared" ref="H97:H102" si="43">SUM(C97*G97)</f>
        <v>17864</v>
      </c>
      <c r="I97" s="86">
        <f t="shared" ref="I97:I101" si="44">SUM(F97+H97)</f>
        <v>97614</v>
      </c>
      <c r="J97" s="67"/>
    </row>
    <row r="98" spans="1:13" ht="20.100000000000001" customHeight="1">
      <c r="A98" s="114"/>
      <c r="B98" s="67" t="s">
        <v>158</v>
      </c>
      <c r="C98" s="362">
        <v>71</v>
      </c>
      <c r="D98" s="88" t="s">
        <v>97</v>
      </c>
      <c r="E98" s="360">
        <v>170</v>
      </c>
      <c r="F98" s="358">
        <f t="shared" si="42"/>
        <v>12070</v>
      </c>
      <c r="G98" s="358">
        <f>80+30</f>
        <v>110</v>
      </c>
      <c r="H98" s="358">
        <f t="shared" si="43"/>
        <v>7810</v>
      </c>
      <c r="I98" s="86">
        <f t="shared" si="44"/>
        <v>19880</v>
      </c>
      <c r="J98" s="67"/>
    </row>
    <row r="99" spans="1:13" ht="20.100000000000001" customHeight="1">
      <c r="A99" s="114"/>
      <c r="B99" s="67" t="s">
        <v>159</v>
      </c>
      <c r="C99" s="362">
        <v>57</v>
      </c>
      <c r="D99" s="88" t="s">
        <v>97</v>
      </c>
      <c r="E99" s="360">
        <v>210</v>
      </c>
      <c r="F99" s="358">
        <f t="shared" si="42"/>
        <v>11970</v>
      </c>
      <c r="G99" s="358">
        <v>80</v>
      </c>
      <c r="H99" s="358">
        <f t="shared" si="43"/>
        <v>4560</v>
      </c>
      <c r="I99" s="86">
        <f t="shared" si="44"/>
        <v>16530</v>
      </c>
      <c r="J99" s="67"/>
    </row>
    <row r="100" spans="1:13" ht="20.100000000000001" customHeight="1">
      <c r="A100" s="114"/>
      <c r="B100" s="67" t="s">
        <v>108</v>
      </c>
      <c r="C100" s="88">
        <v>798</v>
      </c>
      <c r="D100" s="88" t="s">
        <v>97</v>
      </c>
      <c r="E100" s="358">
        <v>90</v>
      </c>
      <c r="F100" s="358">
        <f t="shared" si="42"/>
        <v>71820</v>
      </c>
      <c r="G100" s="358">
        <v>82</v>
      </c>
      <c r="H100" s="358">
        <f t="shared" si="43"/>
        <v>65436</v>
      </c>
      <c r="I100" s="86">
        <f t="shared" si="44"/>
        <v>137256</v>
      </c>
      <c r="J100" s="67"/>
    </row>
    <row r="101" spans="1:13" ht="20.100000000000001" customHeight="1">
      <c r="A101" s="114"/>
      <c r="B101" s="67" t="s">
        <v>209</v>
      </c>
      <c r="C101" s="362">
        <v>228</v>
      </c>
      <c r="D101" s="88" t="s">
        <v>97</v>
      </c>
      <c r="E101" s="358">
        <v>250</v>
      </c>
      <c r="F101" s="358">
        <f t="shared" si="42"/>
        <v>57000</v>
      </c>
      <c r="G101" s="358">
        <v>166</v>
      </c>
      <c r="H101" s="358">
        <f t="shared" si="43"/>
        <v>37848</v>
      </c>
      <c r="I101" s="86">
        <f t="shared" si="44"/>
        <v>94848</v>
      </c>
      <c r="J101" s="67"/>
      <c r="L101" s="169" t="s">
        <v>9</v>
      </c>
    </row>
    <row r="102" spans="1:13" ht="20.100000000000001" customHeight="1">
      <c r="A102" s="114"/>
      <c r="B102" s="67" t="s">
        <v>210</v>
      </c>
      <c r="C102" s="362">
        <v>195</v>
      </c>
      <c r="D102" s="88" t="s">
        <v>104</v>
      </c>
      <c r="E102" s="358">
        <v>70</v>
      </c>
      <c r="F102" s="358">
        <f t="shared" si="42"/>
        <v>13650</v>
      </c>
      <c r="G102" s="358">
        <v>44</v>
      </c>
      <c r="H102" s="358">
        <f t="shared" si="43"/>
        <v>8580</v>
      </c>
      <c r="I102" s="86">
        <f t="shared" ref="I102" si="45">SUM(F102+H102)</f>
        <v>22230</v>
      </c>
      <c r="J102" s="67"/>
      <c r="K102" s="64">
        <f>6.1*6</f>
        <v>36.599999999999994</v>
      </c>
    </row>
    <row r="103" spans="1:13" ht="20.100000000000001" customHeight="1">
      <c r="A103" s="114"/>
      <c r="B103" s="195"/>
      <c r="C103" s="66"/>
      <c r="D103" s="66"/>
      <c r="E103" s="79"/>
      <c r="F103" s="78"/>
      <c r="G103" s="78"/>
      <c r="H103" s="78"/>
      <c r="I103" s="81"/>
      <c r="J103" s="67"/>
    </row>
    <row r="104" spans="1:13" ht="20.100000000000001" customHeight="1">
      <c r="A104" s="114"/>
      <c r="B104" s="87" t="s">
        <v>109</v>
      </c>
      <c r="C104" s="357"/>
      <c r="D104" s="88"/>
      <c r="E104" s="358"/>
      <c r="F104" s="358"/>
      <c r="G104" s="359"/>
      <c r="H104" s="359"/>
      <c r="I104" s="81"/>
      <c r="J104" s="67"/>
    </row>
    <row r="105" spans="1:13" ht="20.100000000000001" customHeight="1">
      <c r="A105" s="114"/>
      <c r="B105" s="67" t="s">
        <v>212</v>
      </c>
      <c r="C105" s="357">
        <v>25</v>
      </c>
      <c r="D105" s="88" t="s">
        <v>97</v>
      </c>
      <c r="E105" s="358">
        <v>250</v>
      </c>
      <c r="F105" s="358">
        <f>SUM(C105*E105)</f>
        <v>6250</v>
      </c>
      <c r="G105" s="358">
        <v>158</v>
      </c>
      <c r="H105" s="358">
        <f>SUM(C105*G105)</f>
        <v>3950</v>
      </c>
      <c r="I105" s="86">
        <f>SUM(F105+H105)</f>
        <v>10200</v>
      </c>
      <c r="J105" s="67"/>
      <c r="M105" s="64" t="s">
        <v>9</v>
      </c>
    </row>
    <row r="106" spans="1:13" ht="20.100000000000001" customHeight="1">
      <c r="A106" s="114"/>
      <c r="B106" s="67" t="s">
        <v>198</v>
      </c>
      <c r="C106" s="357">
        <v>833</v>
      </c>
      <c r="D106" s="88" t="s">
        <v>97</v>
      </c>
      <c r="E106" s="358">
        <v>100</v>
      </c>
      <c r="F106" s="358">
        <f>SUM(C106*E106)</f>
        <v>83300</v>
      </c>
      <c r="G106" s="358">
        <v>82</v>
      </c>
      <c r="H106" s="358">
        <f t="shared" ref="H106:H108" si="46">SUM(C106*G106)</f>
        <v>68306</v>
      </c>
      <c r="I106" s="86">
        <f t="shared" ref="I106:I108" si="47">SUM(F106+H106)</f>
        <v>151606</v>
      </c>
      <c r="J106" s="67"/>
    </row>
    <row r="107" spans="1:13" ht="20.100000000000001" customHeight="1">
      <c r="A107" s="114"/>
      <c r="B107" s="67" t="s">
        <v>160</v>
      </c>
      <c r="C107" s="357">
        <v>281</v>
      </c>
      <c r="D107" s="88" t="s">
        <v>97</v>
      </c>
      <c r="E107" s="358">
        <v>80</v>
      </c>
      <c r="F107" s="358">
        <f>SUM(C107*E107)</f>
        <v>22480</v>
      </c>
      <c r="G107" s="358">
        <v>61</v>
      </c>
      <c r="H107" s="358">
        <f t="shared" si="46"/>
        <v>17141</v>
      </c>
      <c r="I107" s="86">
        <f t="shared" si="47"/>
        <v>39621</v>
      </c>
      <c r="J107" s="67"/>
    </row>
    <row r="108" spans="1:13" ht="20.100000000000001" customHeight="1">
      <c r="A108" s="114"/>
      <c r="B108" s="67" t="s">
        <v>161</v>
      </c>
      <c r="C108" s="357">
        <v>16</v>
      </c>
      <c r="D108" s="88" t="s">
        <v>97</v>
      </c>
      <c r="E108" s="358">
        <v>100</v>
      </c>
      <c r="F108" s="358">
        <f>SUM(C108*E108)</f>
        <v>1600</v>
      </c>
      <c r="G108" s="358">
        <v>127</v>
      </c>
      <c r="H108" s="358">
        <f t="shared" si="46"/>
        <v>2032</v>
      </c>
      <c r="I108" s="86">
        <f t="shared" si="47"/>
        <v>3632</v>
      </c>
      <c r="J108" s="67"/>
    </row>
    <row r="109" spans="1:13" ht="20.100000000000001" customHeight="1">
      <c r="A109" s="114"/>
      <c r="B109" s="67" t="s">
        <v>211</v>
      </c>
      <c r="C109" s="357">
        <v>139</v>
      </c>
      <c r="D109" s="122" t="s">
        <v>104</v>
      </c>
      <c r="E109" s="358">
        <v>200</v>
      </c>
      <c r="F109" s="358">
        <f>SUM(C109*E109)</f>
        <v>27800</v>
      </c>
      <c r="G109" s="502" t="s">
        <v>106</v>
      </c>
      <c r="H109" s="503"/>
      <c r="I109" s="86">
        <f t="shared" ref="I109" si="48">SUM(F109+H109)</f>
        <v>27800</v>
      </c>
      <c r="J109" s="67"/>
    </row>
    <row r="110" spans="1:13" ht="20.100000000000001" customHeight="1">
      <c r="A110" s="114"/>
      <c r="B110" s="67"/>
      <c r="C110" s="357"/>
      <c r="D110" s="122"/>
      <c r="E110" s="358"/>
      <c r="F110" s="358"/>
      <c r="G110" s="359"/>
      <c r="H110" s="434"/>
      <c r="I110" s="86"/>
      <c r="J110" s="67"/>
    </row>
    <row r="111" spans="1:13" s="70" customFormat="1" ht="20.100000000000001" customHeight="1">
      <c r="A111" s="114"/>
      <c r="B111" s="68"/>
      <c r="C111" s="66"/>
      <c r="D111" s="77"/>
      <c r="E111" s="79"/>
      <c r="F111" s="78"/>
      <c r="G111" s="78"/>
      <c r="H111" s="78"/>
      <c r="I111" s="86"/>
      <c r="J111" s="67"/>
      <c r="L111" s="182"/>
    </row>
    <row r="112" spans="1:13" s="70" customFormat="1" ht="20.100000000000001" customHeight="1">
      <c r="A112" s="123"/>
      <c r="B112" s="68"/>
      <c r="C112" s="66"/>
      <c r="D112" s="77"/>
      <c r="E112" s="79"/>
      <c r="F112" s="78"/>
      <c r="G112" s="78"/>
      <c r="H112" s="78"/>
      <c r="I112" s="86"/>
      <c r="J112" s="67"/>
      <c r="L112" s="182"/>
    </row>
    <row r="113" spans="1:15" s="70" customFormat="1" ht="20.100000000000001" customHeight="1">
      <c r="A113" s="123"/>
      <c r="B113" s="68"/>
      <c r="C113" s="66"/>
      <c r="D113" s="77"/>
      <c r="E113" s="79"/>
      <c r="F113" s="78"/>
      <c r="G113" s="78"/>
      <c r="H113" s="78"/>
      <c r="I113" s="86"/>
      <c r="J113" s="67"/>
      <c r="L113" s="182"/>
    </row>
    <row r="114" spans="1:15" s="70" customFormat="1" ht="20.100000000000001" customHeight="1">
      <c r="A114" s="123"/>
      <c r="B114" s="68" t="s">
        <v>9</v>
      </c>
      <c r="C114" s="66"/>
      <c r="D114" s="77"/>
      <c r="E114" s="79"/>
      <c r="F114" s="78"/>
      <c r="G114" s="78"/>
      <c r="H114" s="78"/>
      <c r="I114" s="86"/>
      <c r="J114" s="67"/>
      <c r="L114" s="182"/>
    </row>
    <row r="115" spans="1:15" ht="20.100000000000001" customHeight="1">
      <c r="A115" s="123"/>
      <c r="B115" s="68"/>
      <c r="C115" s="71"/>
      <c r="D115" s="66"/>
      <c r="E115" s="188"/>
      <c r="F115" s="188"/>
      <c r="G115" s="113"/>
      <c r="H115" s="113"/>
      <c r="I115" s="86"/>
      <c r="J115" s="67"/>
      <c r="K115" s="72"/>
    </row>
    <row r="116" spans="1:15" s="169" customFormat="1" ht="20.100000000000001" customHeight="1">
      <c r="A116" s="123"/>
      <c r="B116" s="66" t="s">
        <v>18</v>
      </c>
      <c r="C116" s="71"/>
      <c r="D116" s="66" t="s">
        <v>9</v>
      </c>
      <c r="E116" s="73"/>
      <c r="F116" s="193">
        <f>SUM(F97:F115)</f>
        <v>387690</v>
      </c>
      <c r="G116" s="436"/>
      <c r="H116" s="193">
        <f>SUM(H97:H115)</f>
        <v>233527</v>
      </c>
      <c r="I116" s="116"/>
      <c r="J116" s="67"/>
      <c r="K116" s="72">
        <f>+H116+F116</f>
        <v>621217</v>
      </c>
      <c r="M116" s="64"/>
      <c r="N116" s="64"/>
      <c r="O116" s="64"/>
    </row>
    <row r="117" spans="1:15" s="169" customFormat="1" ht="20.100000000000001" customHeight="1">
      <c r="A117" s="94"/>
      <c r="B117" s="114" t="s">
        <v>53</v>
      </c>
      <c r="C117" s="71"/>
      <c r="D117" s="66"/>
      <c r="E117" s="73"/>
      <c r="F117" s="69"/>
      <c r="G117" s="436"/>
      <c r="H117" s="437"/>
      <c r="I117" s="197">
        <f>SUM(I97:I116)</f>
        <v>621217</v>
      </c>
      <c r="J117" s="67"/>
      <c r="K117" s="64"/>
      <c r="M117" s="64"/>
      <c r="N117" s="64"/>
      <c r="O117" s="64"/>
    </row>
    <row r="118" spans="1:15" s="70" customFormat="1" ht="20.100000000000001" customHeight="1">
      <c r="A118" s="114"/>
      <c r="B118" s="87" t="s">
        <v>110</v>
      </c>
      <c r="C118" s="88"/>
      <c r="D118" s="88"/>
      <c r="E118" s="363"/>
      <c r="F118" s="363"/>
      <c r="G118" s="363"/>
      <c r="H118" s="363"/>
      <c r="I118" s="86"/>
      <c r="J118" s="67"/>
      <c r="L118" s="182"/>
    </row>
    <row r="119" spans="1:15" ht="20.100000000000001" customHeight="1">
      <c r="A119" s="114"/>
      <c r="B119" s="67" t="s">
        <v>162</v>
      </c>
      <c r="C119" s="88">
        <v>6</v>
      </c>
      <c r="D119" s="88" t="s">
        <v>103</v>
      </c>
      <c r="E119" s="358">
        <v>15500</v>
      </c>
      <c r="F119" s="358">
        <f t="shared" ref="F119:F127" si="49">SUM(C119*E119)</f>
        <v>93000</v>
      </c>
      <c r="G119" s="502" t="s">
        <v>106</v>
      </c>
      <c r="H119" s="503"/>
      <c r="I119" s="86">
        <f t="shared" ref="I119:I127" si="50">SUM(F119+H119)</f>
        <v>93000</v>
      </c>
      <c r="J119" s="67"/>
    </row>
    <row r="120" spans="1:15" ht="20.100000000000001" customHeight="1">
      <c r="A120" s="114"/>
      <c r="B120" s="67" t="s">
        <v>163</v>
      </c>
      <c r="C120" s="357">
        <v>1</v>
      </c>
      <c r="D120" s="122" t="s">
        <v>103</v>
      </c>
      <c r="E120" s="358">
        <v>15500</v>
      </c>
      <c r="F120" s="358">
        <f t="shared" si="49"/>
        <v>15500</v>
      </c>
      <c r="G120" s="502" t="s">
        <v>106</v>
      </c>
      <c r="H120" s="503"/>
      <c r="I120" s="86">
        <f t="shared" si="50"/>
        <v>15500</v>
      </c>
      <c r="J120" s="67"/>
    </row>
    <row r="121" spans="1:15" ht="20.100000000000001" customHeight="1">
      <c r="A121" s="114"/>
      <c r="B121" s="67" t="s">
        <v>164</v>
      </c>
      <c r="C121" s="357">
        <v>1</v>
      </c>
      <c r="D121" s="122" t="s">
        <v>103</v>
      </c>
      <c r="E121" s="358">
        <v>3500</v>
      </c>
      <c r="F121" s="358">
        <f t="shared" si="49"/>
        <v>3500</v>
      </c>
      <c r="G121" s="502" t="s">
        <v>106</v>
      </c>
      <c r="H121" s="503"/>
      <c r="I121" s="86">
        <f t="shared" si="50"/>
        <v>3500</v>
      </c>
      <c r="J121" s="67"/>
    </row>
    <row r="122" spans="1:15" ht="20.100000000000001" customHeight="1">
      <c r="A122" s="114"/>
      <c r="B122" s="67" t="s">
        <v>165</v>
      </c>
      <c r="C122" s="357">
        <v>5</v>
      </c>
      <c r="D122" s="122" t="s">
        <v>103</v>
      </c>
      <c r="E122" s="358">
        <v>4500</v>
      </c>
      <c r="F122" s="358">
        <f t="shared" si="49"/>
        <v>22500</v>
      </c>
      <c r="G122" s="502" t="s">
        <v>106</v>
      </c>
      <c r="H122" s="503"/>
      <c r="I122" s="86">
        <f t="shared" si="50"/>
        <v>22500</v>
      </c>
      <c r="J122" s="67"/>
    </row>
    <row r="123" spans="1:15" ht="20.100000000000001" customHeight="1">
      <c r="A123" s="114"/>
      <c r="B123" s="67" t="s">
        <v>166</v>
      </c>
      <c r="C123" s="357">
        <v>16</v>
      </c>
      <c r="D123" s="122" t="s">
        <v>103</v>
      </c>
      <c r="E123" s="358">
        <v>6000</v>
      </c>
      <c r="F123" s="358">
        <f t="shared" si="49"/>
        <v>96000</v>
      </c>
      <c r="G123" s="502" t="s">
        <v>106</v>
      </c>
      <c r="H123" s="503"/>
      <c r="I123" s="86">
        <f t="shared" si="50"/>
        <v>96000</v>
      </c>
      <c r="J123" s="67"/>
    </row>
    <row r="124" spans="1:15" ht="20.100000000000001" customHeight="1">
      <c r="A124" s="114"/>
      <c r="B124" s="67" t="s">
        <v>167</v>
      </c>
      <c r="C124" s="357">
        <v>4</v>
      </c>
      <c r="D124" s="122" t="s">
        <v>103</v>
      </c>
      <c r="E124" s="360">
        <v>10000</v>
      </c>
      <c r="F124" s="358">
        <f t="shared" si="49"/>
        <v>40000</v>
      </c>
      <c r="G124" s="502" t="s">
        <v>106</v>
      </c>
      <c r="H124" s="503"/>
      <c r="I124" s="86">
        <f t="shared" si="50"/>
        <v>40000</v>
      </c>
      <c r="J124" s="67"/>
    </row>
    <row r="125" spans="1:15" ht="20.100000000000001" customHeight="1">
      <c r="A125" s="114"/>
      <c r="B125" s="67" t="s">
        <v>168</v>
      </c>
      <c r="C125" s="357">
        <v>2</v>
      </c>
      <c r="D125" s="122" t="s">
        <v>103</v>
      </c>
      <c r="E125" s="360">
        <v>14500</v>
      </c>
      <c r="F125" s="358">
        <f t="shared" si="49"/>
        <v>29000</v>
      </c>
      <c r="G125" s="502" t="s">
        <v>106</v>
      </c>
      <c r="H125" s="503"/>
      <c r="I125" s="86">
        <f t="shared" si="50"/>
        <v>29000</v>
      </c>
      <c r="J125" s="67"/>
    </row>
    <row r="126" spans="1:15" ht="20.100000000000001" customHeight="1">
      <c r="A126" s="114"/>
      <c r="B126" s="67" t="s">
        <v>169</v>
      </c>
      <c r="C126" s="88">
        <v>2</v>
      </c>
      <c r="D126" s="88" t="s">
        <v>103</v>
      </c>
      <c r="E126" s="360">
        <v>5000</v>
      </c>
      <c r="F126" s="358">
        <f t="shared" si="49"/>
        <v>10000</v>
      </c>
      <c r="G126" s="502" t="s">
        <v>106</v>
      </c>
      <c r="H126" s="503"/>
      <c r="I126" s="86">
        <f t="shared" si="50"/>
        <v>10000</v>
      </c>
      <c r="J126" s="67"/>
    </row>
    <row r="127" spans="1:15" ht="20.100000000000001" customHeight="1">
      <c r="A127" s="114"/>
      <c r="B127" s="67" t="s">
        <v>170</v>
      </c>
      <c r="C127" s="88">
        <v>4</v>
      </c>
      <c r="D127" s="88" t="s">
        <v>103</v>
      </c>
      <c r="E127" s="360">
        <v>3000</v>
      </c>
      <c r="F127" s="358">
        <f t="shared" si="49"/>
        <v>12000</v>
      </c>
      <c r="G127" s="502" t="s">
        <v>106</v>
      </c>
      <c r="H127" s="503"/>
      <c r="I127" s="86">
        <f t="shared" si="50"/>
        <v>12000</v>
      </c>
      <c r="J127" s="67"/>
    </row>
    <row r="128" spans="1:15" ht="20.100000000000001" customHeight="1">
      <c r="A128" s="114"/>
      <c r="B128" s="68"/>
      <c r="C128" s="66"/>
      <c r="D128" s="66"/>
      <c r="E128" s="79"/>
      <c r="F128" s="78"/>
      <c r="G128" s="78"/>
      <c r="H128" s="196"/>
      <c r="I128" s="86"/>
      <c r="J128" s="67"/>
    </row>
    <row r="129" spans="1:15" ht="20.100000000000001" customHeight="1">
      <c r="A129" s="114"/>
      <c r="B129" s="68"/>
      <c r="C129" s="66"/>
      <c r="D129" s="66"/>
      <c r="E129" s="79"/>
      <c r="F129" s="78"/>
      <c r="G129" s="78"/>
      <c r="H129" s="196"/>
      <c r="I129" s="86"/>
      <c r="J129" s="67"/>
    </row>
    <row r="130" spans="1:15" ht="20.100000000000001" customHeight="1">
      <c r="A130" s="114"/>
      <c r="B130" s="68"/>
      <c r="C130" s="66"/>
      <c r="D130" s="66"/>
      <c r="E130" s="79"/>
      <c r="F130" s="78"/>
      <c r="G130" s="78"/>
      <c r="H130" s="196"/>
      <c r="I130" s="86"/>
      <c r="J130" s="67"/>
    </row>
    <row r="131" spans="1:15" ht="20.100000000000001" customHeight="1">
      <c r="A131" s="114"/>
      <c r="B131" s="68"/>
      <c r="C131" s="66"/>
      <c r="D131" s="66"/>
      <c r="E131" s="79"/>
      <c r="F131" s="78"/>
      <c r="G131" s="78"/>
      <c r="H131" s="196"/>
      <c r="I131" s="86"/>
      <c r="J131" s="67"/>
    </row>
    <row r="132" spans="1:15" ht="20.100000000000001" customHeight="1">
      <c r="A132" s="114"/>
      <c r="B132" s="68"/>
      <c r="C132" s="66"/>
      <c r="D132" s="66"/>
      <c r="E132" s="79"/>
      <c r="F132" s="78"/>
      <c r="G132" s="78"/>
      <c r="H132" s="196"/>
      <c r="I132" s="86"/>
      <c r="J132" s="67"/>
    </row>
    <row r="133" spans="1:15" s="70" customFormat="1" ht="20.100000000000001" customHeight="1">
      <c r="A133" s="114"/>
      <c r="B133" s="68" t="s">
        <v>9</v>
      </c>
      <c r="C133" s="66"/>
      <c r="D133" s="66"/>
      <c r="E133" s="79"/>
      <c r="F133" s="78"/>
      <c r="G133" s="79"/>
      <c r="H133" s="356"/>
      <c r="I133" s="86"/>
      <c r="J133" s="67"/>
      <c r="L133" s="182"/>
    </row>
    <row r="134" spans="1:15" s="70" customFormat="1" ht="20.100000000000001" customHeight="1">
      <c r="A134" s="123"/>
      <c r="B134" s="68"/>
      <c r="C134" s="66"/>
      <c r="D134" s="66"/>
      <c r="E134" s="79"/>
      <c r="F134" s="78"/>
      <c r="G134" s="79"/>
      <c r="H134" s="356"/>
      <c r="I134" s="86"/>
      <c r="J134" s="67"/>
      <c r="L134" s="182"/>
    </row>
    <row r="135" spans="1:15" s="70" customFormat="1" ht="20.100000000000001" customHeight="1">
      <c r="A135" s="123"/>
      <c r="B135" s="68"/>
      <c r="C135" s="66"/>
      <c r="D135" s="66"/>
      <c r="E135" s="79"/>
      <c r="F135" s="78"/>
      <c r="G135" s="78"/>
      <c r="H135" s="196"/>
      <c r="I135" s="86"/>
      <c r="J135" s="67"/>
      <c r="L135" s="182"/>
    </row>
    <row r="136" spans="1:15" ht="20.100000000000001" customHeight="1">
      <c r="A136" s="123"/>
      <c r="B136" s="68"/>
      <c r="C136" s="71"/>
      <c r="D136" s="66"/>
      <c r="E136" s="188"/>
      <c r="F136" s="188"/>
      <c r="G136" s="113"/>
      <c r="H136" s="113"/>
      <c r="I136" s="86"/>
      <c r="J136" s="67"/>
      <c r="K136" s="72"/>
    </row>
    <row r="137" spans="1:15" s="169" customFormat="1" ht="20.100000000000001" customHeight="1">
      <c r="A137" s="123"/>
      <c r="B137" s="68"/>
      <c r="C137" s="71"/>
      <c r="D137" s="66"/>
      <c r="E137" s="188"/>
      <c r="F137" s="188"/>
      <c r="G137" s="128"/>
      <c r="H137" s="113"/>
      <c r="I137" s="86"/>
      <c r="J137" s="67"/>
      <c r="K137" s="72"/>
      <c r="M137" s="64"/>
      <c r="N137" s="64"/>
      <c r="O137" s="64"/>
    </row>
    <row r="138" spans="1:15" s="169" customFormat="1" ht="20.100000000000001" customHeight="1">
      <c r="A138" s="123"/>
      <c r="B138" s="66" t="s">
        <v>18</v>
      </c>
      <c r="C138" s="71"/>
      <c r="D138" s="66"/>
      <c r="E138" s="73"/>
      <c r="F138" s="193">
        <f>SUM(F119:F136)</f>
        <v>321500</v>
      </c>
      <c r="G138" s="436"/>
      <c r="H138" s="193">
        <f>SUM(H119:H136)</f>
        <v>0</v>
      </c>
      <c r="I138" s="116"/>
      <c r="J138" s="67"/>
      <c r="K138" s="72">
        <f>+H138+F138</f>
        <v>321500</v>
      </c>
      <c r="M138" s="64"/>
      <c r="N138" s="64"/>
      <c r="O138" s="64"/>
    </row>
    <row r="139" spans="1:15" s="169" customFormat="1" ht="20.100000000000001" customHeight="1">
      <c r="A139" s="94"/>
      <c r="B139" s="114" t="s">
        <v>53</v>
      </c>
      <c r="C139" s="71"/>
      <c r="D139" s="66"/>
      <c r="E139" s="73"/>
      <c r="F139" s="69"/>
      <c r="G139" s="436"/>
      <c r="H139" s="437"/>
      <c r="I139" s="197">
        <f>SUM(I119:I138)</f>
        <v>321500</v>
      </c>
      <c r="J139" s="67"/>
      <c r="K139" s="64"/>
      <c r="M139" s="64"/>
      <c r="N139" s="64"/>
      <c r="O139" s="64"/>
    </row>
    <row r="140" spans="1:15" s="70" customFormat="1" ht="20.100000000000001" customHeight="1">
      <c r="A140" s="114"/>
      <c r="B140" s="87" t="s">
        <v>111</v>
      </c>
      <c r="C140" s="88"/>
      <c r="D140" s="88"/>
      <c r="E140" s="360"/>
      <c r="F140" s="358"/>
      <c r="G140" s="358"/>
      <c r="H140" s="358"/>
      <c r="I140" s="81"/>
      <c r="J140" s="67"/>
      <c r="L140" s="182"/>
    </row>
    <row r="141" spans="1:15" ht="20.100000000000001" customHeight="1">
      <c r="A141" s="114"/>
      <c r="B141" s="67" t="s">
        <v>217</v>
      </c>
      <c r="C141" s="88">
        <v>5</v>
      </c>
      <c r="D141" s="88" t="s">
        <v>103</v>
      </c>
      <c r="E141" s="360">
        <v>5325</v>
      </c>
      <c r="F141" s="358">
        <f t="shared" ref="F141:F152" si="51">SUM(C141*E141)</f>
        <v>26625</v>
      </c>
      <c r="G141" s="358">
        <v>450</v>
      </c>
      <c r="H141" s="358">
        <f t="shared" ref="H141:H150" si="52">C141*G141</f>
        <v>2250</v>
      </c>
      <c r="I141" s="86">
        <f>SUM(F141+H141)</f>
        <v>28875</v>
      </c>
      <c r="J141" s="67"/>
    </row>
    <row r="142" spans="1:15" ht="20.100000000000001" customHeight="1">
      <c r="A142" s="114"/>
      <c r="B142" s="67" t="s">
        <v>171</v>
      </c>
      <c r="C142" s="88">
        <v>4</v>
      </c>
      <c r="D142" s="88" t="s">
        <v>103</v>
      </c>
      <c r="E142" s="360">
        <v>5590</v>
      </c>
      <c r="F142" s="358">
        <f t="shared" si="51"/>
        <v>22360</v>
      </c>
      <c r="G142" s="358">
        <v>450</v>
      </c>
      <c r="H142" s="358">
        <f t="shared" si="52"/>
        <v>1800</v>
      </c>
      <c r="I142" s="86">
        <f t="shared" ref="I142:I150" si="53">SUM(F142+H142)</f>
        <v>24160</v>
      </c>
      <c r="J142" s="67"/>
    </row>
    <row r="143" spans="1:15" ht="20.100000000000001" customHeight="1">
      <c r="A143" s="114"/>
      <c r="B143" s="67" t="s">
        <v>172</v>
      </c>
      <c r="C143" s="88">
        <v>2</v>
      </c>
      <c r="D143" s="88" t="s">
        <v>103</v>
      </c>
      <c r="E143" s="360">
        <v>4000</v>
      </c>
      <c r="F143" s="358">
        <f t="shared" si="51"/>
        <v>8000</v>
      </c>
      <c r="G143" s="358">
        <v>450</v>
      </c>
      <c r="H143" s="358">
        <f>C143*G143</f>
        <v>900</v>
      </c>
      <c r="I143" s="86">
        <f t="shared" si="53"/>
        <v>8900</v>
      </c>
      <c r="J143" s="67"/>
    </row>
    <row r="144" spans="1:15" ht="20.100000000000001" customHeight="1">
      <c r="A144" s="114"/>
      <c r="B144" s="67" t="s">
        <v>173</v>
      </c>
      <c r="C144" s="88">
        <v>7</v>
      </c>
      <c r="D144" s="88" t="s">
        <v>103</v>
      </c>
      <c r="E144" s="360">
        <v>3190</v>
      </c>
      <c r="F144" s="358">
        <f t="shared" si="51"/>
        <v>22330</v>
      </c>
      <c r="G144" s="358">
        <v>450</v>
      </c>
      <c r="H144" s="358">
        <f t="shared" si="52"/>
        <v>3150</v>
      </c>
      <c r="I144" s="86">
        <f t="shared" si="53"/>
        <v>25480</v>
      </c>
      <c r="J144" s="67"/>
    </row>
    <row r="145" spans="1:15" ht="20.100000000000001" customHeight="1">
      <c r="A145" s="114"/>
      <c r="B145" s="67" t="s">
        <v>220</v>
      </c>
      <c r="C145" s="88">
        <v>1</v>
      </c>
      <c r="D145" s="88" t="s">
        <v>103</v>
      </c>
      <c r="E145" s="360">
        <v>5470</v>
      </c>
      <c r="F145" s="358">
        <f t="shared" ref="F145" si="54">SUM(C145*E145)</f>
        <v>5470</v>
      </c>
      <c r="G145" s="358">
        <v>450</v>
      </c>
      <c r="H145" s="358">
        <f t="shared" ref="H145" si="55">C145*G145</f>
        <v>450</v>
      </c>
      <c r="I145" s="86">
        <f t="shared" ref="I145" si="56">SUM(F145+H145)</f>
        <v>5920</v>
      </c>
      <c r="J145" s="67"/>
    </row>
    <row r="146" spans="1:15" ht="20.100000000000001" customHeight="1">
      <c r="A146" s="114"/>
      <c r="B146" s="67" t="s">
        <v>219</v>
      </c>
      <c r="C146" s="88">
        <v>2</v>
      </c>
      <c r="D146" s="88" t="s">
        <v>103</v>
      </c>
      <c r="E146" s="360">
        <v>1800</v>
      </c>
      <c r="F146" s="358">
        <f t="shared" si="51"/>
        <v>3600</v>
      </c>
      <c r="G146" s="361" t="s">
        <v>193</v>
      </c>
      <c r="H146" s="433" t="s">
        <v>189</v>
      </c>
      <c r="I146" s="86">
        <f>SUM(F146)</f>
        <v>3600</v>
      </c>
      <c r="J146" s="67"/>
      <c r="K146" s="64">
        <f>0.6*1.2</f>
        <v>0.72</v>
      </c>
      <c r="L146" s="169">
        <f>+K146*2500</f>
        <v>1800</v>
      </c>
    </row>
    <row r="147" spans="1:15" ht="20.100000000000001" customHeight="1">
      <c r="A147" s="114"/>
      <c r="B147" s="67" t="s">
        <v>174</v>
      </c>
      <c r="C147" s="88">
        <v>7</v>
      </c>
      <c r="D147" s="88" t="s">
        <v>103</v>
      </c>
      <c r="E147" s="360">
        <v>300</v>
      </c>
      <c r="F147" s="358">
        <f t="shared" si="51"/>
        <v>2100</v>
      </c>
      <c r="G147" s="358">
        <v>70</v>
      </c>
      <c r="H147" s="358">
        <f t="shared" si="52"/>
        <v>490</v>
      </c>
      <c r="I147" s="86">
        <f t="shared" si="53"/>
        <v>2590</v>
      </c>
      <c r="J147" s="67"/>
    </row>
    <row r="148" spans="1:15" ht="20.100000000000001" customHeight="1">
      <c r="A148" s="114"/>
      <c r="B148" s="67" t="s">
        <v>112</v>
      </c>
      <c r="C148" s="88">
        <v>5</v>
      </c>
      <c r="D148" s="88" t="s">
        <v>103</v>
      </c>
      <c r="E148" s="360">
        <v>849</v>
      </c>
      <c r="F148" s="358">
        <f t="shared" si="51"/>
        <v>4245</v>
      </c>
      <c r="G148" s="358">
        <v>70</v>
      </c>
      <c r="H148" s="358">
        <f t="shared" si="52"/>
        <v>350</v>
      </c>
      <c r="I148" s="86">
        <f t="shared" si="53"/>
        <v>4595</v>
      </c>
      <c r="J148" s="67"/>
    </row>
    <row r="149" spans="1:15" ht="20.100000000000001" customHeight="1">
      <c r="A149" s="114"/>
      <c r="B149" s="67" t="s">
        <v>175</v>
      </c>
      <c r="C149" s="88">
        <v>5</v>
      </c>
      <c r="D149" s="88" t="s">
        <v>103</v>
      </c>
      <c r="E149" s="360">
        <v>324</v>
      </c>
      <c r="F149" s="358">
        <f t="shared" si="51"/>
        <v>1620</v>
      </c>
      <c r="G149" s="358">
        <v>120</v>
      </c>
      <c r="H149" s="358">
        <f t="shared" si="52"/>
        <v>600</v>
      </c>
      <c r="I149" s="86">
        <f t="shared" si="53"/>
        <v>2220</v>
      </c>
      <c r="J149" s="67"/>
    </row>
    <row r="150" spans="1:15" ht="20.100000000000001" customHeight="1">
      <c r="A150" s="114"/>
      <c r="B150" s="67" t="s">
        <v>176</v>
      </c>
      <c r="C150" s="88">
        <v>5</v>
      </c>
      <c r="D150" s="88" t="s">
        <v>103</v>
      </c>
      <c r="E150" s="360">
        <v>140</v>
      </c>
      <c r="F150" s="358">
        <f t="shared" si="51"/>
        <v>700</v>
      </c>
      <c r="G150" s="358">
        <v>35</v>
      </c>
      <c r="H150" s="358">
        <f t="shared" si="52"/>
        <v>175</v>
      </c>
      <c r="I150" s="86">
        <f t="shared" si="53"/>
        <v>875</v>
      </c>
      <c r="J150" s="67"/>
    </row>
    <row r="151" spans="1:15" ht="20.100000000000001" customHeight="1">
      <c r="A151" s="114"/>
      <c r="B151" s="67" t="s">
        <v>177</v>
      </c>
      <c r="C151" s="88">
        <v>2.2999999999999998</v>
      </c>
      <c r="D151" s="88" t="s">
        <v>104</v>
      </c>
      <c r="E151" s="360">
        <v>2500</v>
      </c>
      <c r="F151" s="358">
        <f t="shared" si="51"/>
        <v>5750</v>
      </c>
      <c r="G151" s="361" t="s">
        <v>193</v>
      </c>
      <c r="H151" s="433" t="s">
        <v>189</v>
      </c>
      <c r="I151" s="86">
        <f>SUM(F151)</f>
        <v>5750</v>
      </c>
      <c r="J151" s="67"/>
      <c r="K151" s="64" t="s">
        <v>9</v>
      </c>
    </row>
    <row r="152" spans="1:15" ht="20.100000000000001" customHeight="1">
      <c r="A152" s="114"/>
      <c r="B152" s="67" t="s">
        <v>218</v>
      </c>
      <c r="C152" s="88">
        <v>3</v>
      </c>
      <c r="D152" s="88" t="s">
        <v>103</v>
      </c>
      <c r="E152" s="360">
        <v>925</v>
      </c>
      <c r="F152" s="358">
        <f t="shared" si="51"/>
        <v>2775</v>
      </c>
      <c r="G152" s="358">
        <v>170</v>
      </c>
      <c r="H152" s="358">
        <f t="shared" ref="H152" si="57">C152*G152</f>
        <v>510</v>
      </c>
      <c r="I152" s="86">
        <f t="shared" ref="I152" si="58">SUM(F152+H152)</f>
        <v>3285</v>
      </c>
      <c r="J152" s="67" t="s">
        <v>9</v>
      </c>
    </row>
    <row r="153" spans="1:15" ht="20.100000000000001" customHeight="1">
      <c r="A153" s="114"/>
      <c r="B153" s="67"/>
      <c r="C153" s="88"/>
      <c r="D153" s="88"/>
      <c r="E153" s="360"/>
      <c r="F153" s="358"/>
      <c r="G153" s="358"/>
      <c r="H153" s="358"/>
      <c r="I153" s="86"/>
      <c r="J153" s="67"/>
    </row>
    <row r="154" spans="1:15" ht="20.100000000000001" customHeight="1">
      <c r="A154" s="114"/>
      <c r="B154" s="87" t="s">
        <v>113</v>
      </c>
      <c r="C154" s="88"/>
      <c r="D154" s="88"/>
      <c r="E154" s="360"/>
      <c r="F154" s="358"/>
      <c r="G154" s="358"/>
      <c r="H154" s="358"/>
      <c r="I154" s="86"/>
      <c r="J154" s="67"/>
    </row>
    <row r="155" spans="1:15" s="70" customFormat="1" ht="20.100000000000001" customHeight="1">
      <c r="A155" s="114"/>
      <c r="B155" s="67" t="s">
        <v>216</v>
      </c>
      <c r="C155" s="362">
        <v>1694</v>
      </c>
      <c r="D155" s="88" t="s">
        <v>97</v>
      </c>
      <c r="E155" s="360">
        <v>70</v>
      </c>
      <c r="F155" s="358">
        <f>SUM(C155*E155)</f>
        <v>118580</v>
      </c>
      <c r="G155" s="358">
        <v>30</v>
      </c>
      <c r="H155" s="358">
        <f>C155*G155</f>
        <v>50820</v>
      </c>
      <c r="I155" s="86">
        <f t="shared" ref="I155:I156" si="59">SUM(F155+H155)</f>
        <v>169400</v>
      </c>
      <c r="J155" s="67"/>
      <c r="L155" s="182"/>
    </row>
    <row r="156" spans="1:15" s="70" customFormat="1" ht="20.100000000000001" customHeight="1">
      <c r="A156" s="123"/>
      <c r="B156" s="67" t="s">
        <v>114</v>
      </c>
      <c r="C156" s="362">
        <v>280</v>
      </c>
      <c r="D156" s="88" t="s">
        <v>97</v>
      </c>
      <c r="E156" s="360">
        <v>75</v>
      </c>
      <c r="F156" s="358">
        <f>SUM(C156*E156)</f>
        <v>21000</v>
      </c>
      <c r="G156" s="358">
        <v>38</v>
      </c>
      <c r="H156" s="358">
        <f>C156*G156</f>
        <v>10640</v>
      </c>
      <c r="I156" s="86">
        <f t="shared" si="59"/>
        <v>31640</v>
      </c>
      <c r="J156" s="67"/>
      <c r="L156" s="182"/>
    </row>
    <row r="157" spans="1:15" s="70" customFormat="1" ht="20.100000000000001" customHeight="1">
      <c r="A157" s="123"/>
      <c r="B157" s="67"/>
      <c r="C157" s="362"/>
      <c r="D157" s="88"/>
      <c r="E157" s="360"/>
      <c r="F157" s="358"/>
      <c r="G157" s="358"/>
      <c r="H157" s="358"/>
      <c r="I157" s="86"/>
      <c r="J157" s="67"/>
      <c r="L157" s="182"/>
    </row>
    <row r="158" spans="1:15" s="70" customFormat="1" ht="20.100000000000001" customHeight="1">
      <c r="A158" s="123"/>
      <c r="B158" s="67"/>
      <c r="C158" s="362"/>
      <c r="D158" s="88"/>
      <c r="E158" s="360"/>
      <c r="F158" s="358"/>
      <c r="G158" s="361"/>
      <c r="H158" s="358"/>
      <c r="I158" s="86"/>
      <c r="J158" s="67"/>
      <c r="L158" s="182"/>
    </row>
    <row r="159" spans="1:15" s="70" customFormat="1" ht="20.100000000000001" customHeight="1">
      <c r="A159" s="123"/>
      <c r="B159" s="67"/>
      <c r="C159" s="362"/>
      <c r="D159" s="88"/>
      <c r="E159" s="360"/>
      <c r="F159" s="358"/>
      <c r="G159" s="361"/>
      <c r="H159" s="358"/>
      <c r="I159" s="86"/>
      <c r="J159" s="67"/>
      <c r="L159" s="182"/>
    </row>
    <row r="160" spans="1:15" s="169" customFormat="1" ht="20.100000000000001" customHeight="1">
      <c r="A160" s="123"/>
      <c r="B160" s="66" t="s">
        <v>18</v>
      </c>
      <c r="C160" s="71"/>
      <c r="D160" s="66"/>
      <c r="E160" s="73"/>
      <c r="F160" s="193">
        <f>SUM(F140:F159)</f>
        <v>245155</v>
      </c>
      <c r="G160" s="436"/>
      <c r="H160" s="193">
        <f>SUM(H140:H159)</f>
        <v>72135</v>
      </c>
      <c r="I160" s="116"/>
      <c r="J160" s="67"/>
      <c r="K160" s="72">
        <f>SUM(F160+H160)</f>
        <v>317290</v>
      </c>
      <c r="M160" s="64"/>
      <c r="N160" s="64"/>
      <c r="O160" s="64"/>
    </row>
    <row r="161" spans="1:15" s="169" customFormat="1" ht="20.100000000000001" customHeight="1">
      <c r="A161" s="94"/>
      <c r="B161" s="114" t="s">
        <v>53</v>
      </c>
      <c r="C161" s="71"/>
      <c r="D161" s="66"/>
      <c r="E161" s="73"/>
      <c r="F161" s="69"/>
      <c r="G161" s="436"/>
      <c r="H161" s="437"/>
      <c r="I161" s="197">
        <f>SUM(I140:I160)</f>
        <v>317290</v>
      </c>
      <c r="J161" s="67"/>
      <c r="K161" s="64"/>
      <c r="M161" s="64"/>
      <c r="N161" s="64"/>
      <c r="O161" s="64"/>
    </row>
    <row r="162" spans="1:15" ht="20.100000000000001" customHeight="1">
      <c r="A162" s="123"/>
      <c r="B162" s="87" t="s">
        <v>115</v>
      </c>
      <c r="C162" s="362"/>
      <c r="D162" s="88"/>
      <c r="E162" s="360"/>
      <c r="F162" s="358"/>
      <c r="G162" s="358"/>
      <c r="H162" s="358"/>
      <c r="I162" s="86"/>
      <c r="J162" s="67"/>
      <c r="K162" s="72"/>
    </row>
    <row r="163" spans="1:15" s="169" customFormat="1" ht="20.100000000000001" customHeight="1">
      <c r="A163" s="123"/>
      <c r="B163" s="67" t="s">
        <v>178</v>
      </c>
      <c r="C163" s="362">
        <v>22</v>
      </c>
      <c r="D163" s="88" t="s">
        <v>104</v>
      </c>
      <c r="E163" s="360">
        <v>4500</v>
      </c>
      <c r="F163" s="358">
        <f>SUM(C163*E163)</f>
        <v>99000</v>
      </c>
      <c r="G163" s="361" t="s">
        <v>193</v>
      </c>
      <c r="H163" s="433" t="s">
        <v>189</v>
      </c>
      <c r="I163" s="86">
        <f>SUM(F163)</f>
        <v>99000</v>
      </c>
      <c r="J163" s="67"/>
      <c r="K163" s="72"/>
      <c r="M163" s="64"/>
      <c r="N163" s="64"/>
      <c r="O163" s="64"/>
    </row>
    <row r="164" spans="1:15" s="169" customFormat="1" ht="20.100000000000001" customHeight="1">
      <c r="A164" s="123"/>
      <c r="B164" s="67" t="s">
        <v>213</v>
      </c>
      <c r="C164" s="362">
        <v>16</v>
      </c>
      <c r="D164" s="88" t="s">
        <v>104</v>
      </c>
      <c r="E164" s="360">
        <v>4000</v>
      </c>
      <c r="F164" s="358">
        <f>SUM(C164*E164)</f>
        <v>64000</v>
      </c>
      <c r="G164" s="361" t="s">
        <v>193</v>
      </c>
      <c r="H164" s="433" t="s">
        <v>189</v>
      </c>
      <c r="I164" s="86">
        <f>SUM(F164)</f>
        <v>64000</v>
      </c>
      <c r="J164" s="67"/>
      <c r="K164" s="72"/>
      <c r="M164" s="64"/>
      <c r="N164" s="64"/>
      <c r="O164" s="64"/>
    </row>
    <row r="165" spans="1:15" ht="20.100000000000001" customHeight="1">
      <c r="A165" s="114"/>
      <c r="B165" s="67" t="s">
        <v>199</v>
      </c>
      <c r="C165" s="427">
        <v>12.8</v>
      </c>
      <c r="D165" s="88" t="s">
        <v>104</v>
      </c>
      <c r="E165" s="358">
        <f>2500+8000</f>
        <v>10500</v>
      </c>
      <c r="F165" s="358">
        <f>SUM(C165*E165)</f>
        <v>134400</v>
      </c>
      <c r="G165" s="502" t="s">
        <v>106</v>
      </c>
      <c r="H165" s="503"/>
      <c r="I165" s="86">
        <f>SUM(F165+H165)</f>
        <v>134400</v>
      </c>
      <c r="J165" s="67"/>
    </row>
    <row r="166" spans="1:15" s="169" customFormat="1" ht="20.100000000000001" customHeight="1">
      <c r="A166" s="123"/>
      <c r="B166" s="67" t="s">
        <v>214</v>
      </c>
      <c r="C166" s="362"/>
      <c r="D166" s="88"/>
      <c r="E166" s="360"/>
      <c r="F166" s="358"/>
      <c r="G166" s="359"/>
      <c r="H166" s="434"/>
      <c r="I166" s="86"/>
      <c r="J166" s="67"/>
      <c r="K166" s="72"/>
      <c r="M166" s="64"/>
      <c r="N166" s="64"/>
      <c r="O166" s="64"/>
    </row>
    <row r="167" spans="1:15" s="169" customFormat="1" ht="20.100000000000001" customHeight="1">
      <c r="A167" s="123"/>
      <c r="B167" s="67" t="s">
        <v>215</v>
      </c>
      <c r="C167" s="362">
        <v>2</v>
      </c>
      <c r="D167" s="88" t="s">
        <v>103</v>
      </c>
      <c r="E167" s="360">
        <f>2900+650+450</f>
        <v>4000</v>
      </c>
      <c r="F167" s="358">
        <f>SUM(C167*E167)</f>
        <v>8000</v>
      </c>
      <c r="G167" s="502" t="s">
        <v>106</v>
      </c>
      <c r="H167" s="503"/>
      <c r="I167" s="86">
        <f>SUM(F167+H167)</f>
        <v>8000</v>
      </c>
      <c r="J167" s="67"/>
      <c r="K167" s="72"/>
      <c r="M167" s="64"/>
      <c r="N167" s="64"/>
      <c r="O167" s="64"/>
    </row>
    <row r="168" spans="1:15" s="70" customFormat="1" ht="20.100000000000001" customHeight="1">
      <c r="A168" s="114"/>
      <c r="B168" s="87"/>
      <c r="C168" s="88"/>
      <c r="D168" s="88"/>
      <c r="E168" s="363"/>
      <c r="F168" s="363"/>
      <c r="G168" s="363"/>
      <c r="H168" s="363"/>
      <c r="I168" s="86"/>
      <c r="J168" s="67"/>
      <c r="L168" s="182"/>
    </row>
    <row r="169" spans="1:15" ht="20.100000000000001" customHeight="1">
      <c r="A169" s="114"/>
      <c r="B169" s="67"/>
      <c r="C169" s="88"/>
      <c r="D169" s="88"/>
      <c r="E169" s="358"/>
      <c r="F169" s="358"/>
      <c r="G169" s="502"/>
      <c r="H169" s="503"/>
      <c r="I169" s="86"/>
      <c r="J169" s="67"/>
    </row>
    <row r="170" spans="1:15" ht="20.100000000000001" customHeight="1">
      <c r="A170" s="114"/>
      <c r="B170" s="67"/>
      <c r="C170" s="357"/>
      <c r="D170" s="122"/>
      <c r="E170" s="358"/>
      <c r="F170" s="358"/>
      <c r="G170" s="502"/>
      <c r="H170" s="503"/>
      <c r="I170" s="86"/>
      <c r="J170" s="67"/>
    </row>
    <row r="171" spans="1:15" ht="20.100000000000001" customHeight="1">
      <c r="A171" s="114"/>
      <c r="B171" s="67"/>
      <c r="C171" s="357"/>
      <c r="D171" s="122"/>
      <c r="E171" s="358"/>
      <c r="F171" s="358"/>
      <c r="G171" s="502"/>
      <c r="H171" s="503"/>
      <c r="I171" s="86"/>
      <c r="J171" s="67"/>
    </row>
    <row r="172" spans="1:15" ht="20.100000000000001" customHeight="1">
      <c r="A172" s="114"/>
      <c r="B172" s="67"/>
      <c r="C172" s="357"/>
      <c r="D172" s="122"/>
      <c r="E172" s="358"/>
      <c r="F172" s="358"/>
      <c r="G172" s="502"/>
      <c r="H172" s="503"/>
      <c r="I172" s="86"/>
      <c r="J172" s="67"/>
    </row>
    <row r="173" spans="1:15" ht="20.100000000000001" customHeight="1">
      <c r="A173" s="114"/>
      <c r="B173" s="67"/>
      <c r="C173" s="357"/>
      <c r="D173" s="122"/>
      <c r="E173" s="358"/>
      <c r="F173" s="358"/>
      <c r="G173" s="502"/>
      <c r="H173" s="503"/>
      <c r="I173" s="86"/>
      <c r="J173" s="67"/>
    </row>
    <row r="174" spans="1:15" ht="20.100000000000001" customHeight="1">
      <c r="A174" s="114"/>
      <c r="B174" s="67"/>
      <c r="C174" s="357"/>
      <c r="D174" s="122"/>
      <c r="E174" s="360"/>
      <c r="F174" s="358"/>
      <c r="G174" s="502"/>
      <c r="H174" s="503"/>
      <c r="I174" s="86"/>
      <c r="J174" s="67"/>
    </row>
    <row r="175" spans="1:15" ht="20.100000000000001" customHeight="1">
      <c r="A175" s="114"/>
      <c r="B175" s="67"/>
      <c r="C175" s="357"/>
      <c r="D175" s="122"/>
      <c r="E175" s="360"/>
      <c r="F175" s="358"/>
      <c r="G175" s="502"/>
      <c r="H175" s="503"/>
      <c r="I175" s="86"/>
      <c r="J175" s="67"/>
    </row>
    <row r="176" spans="1:15" ht="20.100000000000001" customHeight="1">
      <c r="A176" s="114"/>
      <c r="B176" s="67"/>
      <c r="C176" s="88"/>
      <c r="D176" s="88"/>
      <c r="E176" s="360"/>
      <c r="F176" s="358"/>
      <c r="G176" s="502"/>
      <c r="H176" s="503"/>
      <c r="I176" s="86"/>
      <c r="J176" s="67"/>
    </row>
    <row r="177" spans="1:15" ht="20.100000000000001" customHeight="1">
      <c r="A177" s="114"/>
      <c r="B177" s="67"/>
      <c r="C177" s="88"/>
      <c r="D177" s="88"/>
      <c r="E177" s="360"/>
      <c r="F177" s="358"/>
      <c r="G177" s="502"/>
      <c r="H177" s="503"/>
      <c r="I177" s="86"/>
      <c r="J177" s="67"/>
    </row>
    <row r="178" spans="1:15" ht="20.100000000000001" customHeight="1">
      <c r="A178" s="114"/>
      <c r="B178" s="68"/>
      <c r="C178" s="66"/>
      <c r="D178" s="66"/>
      <c r="E178" s="79"/>
      <c r="F178" s="78"/>
      <c r="G178" s="78"/>
      <c r="H178" s="196"/>
      <c r="I178" s="86"/>
      <c r="J178" s="67"/>
    </row>
    <row r="179" spans="1:15" ht="20.100000000000001" customHeight="1">
      <c r="A179" s="114"/>
      <c r="B179" s="68"/>
      <c r="C179" s="66"/>
      <c r="D179" s="66"/>
      <c r="E179" s="79"/>
      <c r="F179" s="78"/>
      <c r="G179" s="78"/>
      <c r="H179" s="196"/>
      <c r="I179" s="86"/>
      <c r="J179" s="67"/>
    </row>
    <row r="180" spans="1:15" ht="20.100000000000001" customHeight="1">
      <c r="A180" s="114"/>
      <c r="B180" s="68"/>
      <c r="C180" s="66"/>
      <c r="D180" s="66"/>
      <c r="E180" s="79"/>
      <c r="F180" s="78"/>
      <c r="G180" s="78"/>
      <c r="H180" s="196"/>
      <c r="I180" s="86"/>
      <c r="J180" s="67"/>
    </row>
    <row r="181" spans="1:15" ht="20.100000000000001" customHeight="1">
      <c r="A181" s="114"/>
      <c r="B181" s="68"/>
      <c r="C181" s="66"/>
      <c r="D181" s="66"/>
      <c r="E181" s="79"/>
      <c r="F181" s="78"/>
      <c r="G181" s="78"/>
      <c r="H181" s="196"/>
      <c r="I181" s="86"/>
      <c r="J181" s="67"/>
    </row>
    <row r="182" spans="1:15" s="169" customFormat="1" ht="20.100000000000001" customHeight="1">
      <c r="A182" s="123"/>
      <c r="B182" s="66" t="s">
        <v>18</v>
      </c>
      <c r="C182" s="71"/>
      <c r="D182" s="66"/>
      <c r="E182" s="73"/>
      <c r="F182" s="193">
        <f>SUM(F162:F181)</f>
        <v>305400</v>
      </c>
      <c r="G182" s="436"/>
      <c r="H182" s="193">
        <f>SUM(H162:H181)</f>
        <v>0</v>
      </c>
      <c r="I182" s="116"/>
      <c r="J182" s="67"/>
      <c r="K182" s="72">
        <f>+H182+F182</f>
        <v>305400</v>
      </c>
      <c r="M182" s="64"/>
      <c r="N182" s="64"/>
      <c r="O182" s="64"/>
    </row>
    <row r="183" spans="1:15" s="169" customFormat="1" ht="20.100000000000001" customHeight="1">
      <c r="A183" s="94"/>
      <c r="B183" s="114" t="s">
        <v>53</v>
      </c>
      <c r="C183" s="71"/>
      <c r="D183" s="66"/>
      <c r="E183" s="73"/>
      <c r="F183" s="69"/>
      <c r="G183" s="436"/>
      <c r="H183" s="437"/>
      <c r="I183" s="197">
        <f>SUM(I162:I182)</f>
        <v>305400</v>
      </c>
      <c r="J183" s="67"/>
      <c r="K183" s="64"/>
      <c r="M183" s="64"/>
      <c r="N183" s="64"/>
      <c r="O183" s="64"/>
    </row>
    <row r="184" spans="1:15">
      <c r="K184" s="198"/>
    </row>
    <row r="185" spans="1:15">
      <c r="I185" s="72">
        <f>+I183+I161+I139+I117+I95+I73+I51+I29</f>
        <v>5849274.6749999998</v>
      </c>
    </row>
    <row r="189" spans="1:15">
      <c r="I189" s="72" t="e">
        <f>SUM(I29+I51+I73+I95+I117+I139+I161+#REF!+#REF!+#REF!)</f>
        <v>#REF!</v>
      </c>
    </row>
  </sheetData>
  <mergeCells count="36">
    <mergeCell ref="G173:H173"/>
    <mergeCell ref="G174:H174"/>
    <mergeCell ref="G175:H175"/>
    <mergeCell ref="G176:H176"/>
    <mergeCell ref="G177:H177"/>
    <mergeCell ref="G167:H167"/>
    <mergeCell ref="G169:H169"/>
    <mergeCell ref="G170:H170"/>
    <mergeCell ref="G171:H171"/>
    <mergeCell ref="G172:H172"/>
    <mergeCell ref="G79:H79"/>
    <mergeCell ref="G165:H165"/>
    <mergeCell ref="G119:H119"/>
    <mergeCell ref="G120:H120"/>
    <mergeCell ref="G121:H121"/>
    <mergeCell ref="G127:H127"/>
    <mergeCell ref="G122:H122"/>
    <mergeCell ref="G123:H123"/>
    <mergeCell ref="G124:H124"/>
    <mergeCell ref="G125:H125"/>
    <mergeCell ref="G126:H126"/>
    <mergeCell ref="G109:H109"/>
    <mergeCell ref="G62:H62"/>
    <mergeCell ref="A1:J1"/>
    <mergeCell ref="E6:F6"/>
    <mergeCell ref="G6:H6"/>
    <mergeCell ref="A6:A7"/>
    <mergeCell ref="B6:B7"/>
    <mergeCell ref="C6:C7"/>
    <mergeCell ref="D6:D7"/>
    <mergeCell ref="J6:J7"/>
    <mergeCell ref="G49:H49"/>
    <mergeCell ref="G47:H47"/>
    <mergeCell ref="G10:H10"/>
    <mergeCell ref="G48:H48"/>
    <mergeCell ref="G11:H11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" header="0.11811023622047245" footer="0.15"/>
  <pageSetup paperSize="9" orientation="landscape" horizontalDpi="1200" verticalDpi="1200" r:id="rId1"/>
  <headerFooter>
    <oddHeader>&amp;Rแบบ ปร. 4 แผ่นที่ 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74"/>
  <sheetViews>
    <sheetView view="pageBreakPreview" topLeftCell="A41" zoomScale="90" zoomScaleSheetLayoutView="90" workbookViewId="0">
      <selection sqref="A1:J74"/>
    </sheetView>
  </sheetViews>
  <sheetFormatPr defaultRowHeight="18"/>
  <cols>
    <col min="1" max="1" width="10.7109375" style="187" customWidth="1"/>
    <col min="2" max="2" width="60.57031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2" s="169" customFormat="1" ht="21" customHeigh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</row>
    <row r="2" spans="1:12" s="174" customFormat="1" ht="21" customHeigh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2" s="169" customFormat="1" ht="21" customHeigh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tr">
        <f>+'แบบ ปร.4_อาคาร '!G3</f>
        <v>35-2-062,62-2-107</v>
      </c>
      <c r="H3" s="175"/>
      <c r="I3" s="172"/>
      <c r="J3" s="171"/>
    </row>
    <row r="4" spans="1:12" s="174" customFormat="1" ht="21" customHeigh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2" s="174" customFormat="1" ht="21" customHeight="1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2" ht="21" customHeight="1" thickTop="1">
      <c r="A6" s="507" t="s">
        <v>61</v>
      </c>
      <c r="B6" s="507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2" ht="21" customHeight="1" thickBot="1">
      <c r="A7" s="508"/>
      <c r="B7" s="508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2" ht="19.5" customHeight="1" thickTop="1">
      <c r="A8" s="132"/>
      <c r="B8" s="420" t="s">
        <v>278</v>
      </c>
      <c r="C8" s="368"/>
      <c r="D8" s="104"/>
      <c r="E8" s="369"/>
      <c r="F8" s="369"/>
      <c r="G8" s="69"/>
      <c r="H8" s="69"/>
      <c r="I8" s="112"/>
      <c r="J8" s="65"/>
    </row>
    <row r="9" spans="1:12" s="374" customFormat="1" ht="19.5" customHeight="1">
      <c r="A9" s="106"/>
      <c r="B9" s="370" t="s">
        <v>241</v>
      </c>
      <c r="C9" s="371">
        <v>54</v>
      </c>
      <c r="D9" s="372" t="s">
        <v>103</v>
      </c>
      <c r="E9" s="373">
        <v>2200</v>
      </c>
      <c r="F9" s="101">
        <f t="shared" ref="F9" si="0">SUM(C9*E9)</f>
        <v>118800</v>
      </c>
      <c r="G9" s="348">
        <v>150</v>
      </c>
      <c r="H9" s="348">
        <f t="shared" ref="H9" si="1">SUM(C9*G9)</f>
        <v>8100</v>
      </c>
      <c r="I9" s="98">
        <f>SUM(F9+H9)</f>
        <v>126900</v>
      </c>
      <c r="J9" s="68"/>
    </row>
    <row r="10" spans="1:12" s="374" customFormat="1" ht="18.95" customHeight="1">
      <c r="A10" s="68"/>
      <c r="B10" s="370" t="s">
        <v>242</v>
      </c>
      <c r="C10" s="375"/>
      <c r="D10" s="372"/>
      <c r="E10" s="376"/>
      <c r="F10" s="101"/>
      <c r="G10" s="348"/>
      <c r="H10" s="348"/>
      <c r="I10" s="98"/>
      <c r="J10" s="68"/>
      <c r="L10" s="377"/>
    </row>
    <row r="11" spans="1:12" s="374" customFormat="1" ht="19.5" customHeight="1">
      <c r="A11" s="66"/>
      <c r="B11" s="370" t="s">
        <v>243</v>
      </c>
      <c r="C11" s="378">
        <v>6</v>
      </c>
      <c r="D11" s="372" t="s">
        <v>103</v>
      </c>
      <c r="E11" s="373">
        <v>1990</v>
      </c>
      <c r="F11" s="101">
        <f t="shared" ref="F11" si="2">SUM(C11*E11)</f>
        <v>11940</v>
      </c>
      <c r="G11" s="348">
        <v>150</v>
      </c>
      <c r="H11" s="348">
        <f t="shared" ref="H11" si="3">SUM(C11*G11)</f>
        <v>900</v>
      </c>
      <c r="I11" s="98">
        <f>SUM(F11+H11)</f>
        <v>12840</v>
      </c>
      <c r="J11" s="68"/>
    </row>
    <row r="12" spans="1:12" s="374" customFormat="1" ht="18.95" customHeight="1">
      <c r="A12" s="68"/>
      <c r="B12" s="97" t="s">
        <v>244</v>
      </c>
      <c r="C12" s="349"/>
      <c r="D12" s="96"/>
      <c r="E12" s="354"/>
      <c r="F12" s="101"/>
      <c r="G12" s="348"/>
      <c r="H12" s="348"/>
      <c r="I12" s="98"/>
      <c r="J12" s="68"/>
      <c r="L12" s="377"/>
    </row>
    <row r="13" spans="1:12" s="374" customFormat="1" ht="19.5" customHeight="1">
      <c r="A13" s="66"/>
      <c r="B13" s="68" t="s">
        <v>245</v>
      </c>
      <c r="C13" s="349">
        <v>8</v>
      </c>
      <c r="D13" s="96" t="s">
        <v>103</v>
      </c>
      <c r="E13" s="354">
        <v>500</v>
      </c>
      <c r="F13" s="101">
        <f t="shared" ref="F13:F14" si="4">SUM(C13*E13)</f>
        <v>4000</v>
      </c>
      <c r="G13" s="348">
        <v>115</v>
      </c>
      <c r="H13" s="348">
        <f t="shared" ref="H13:H14" si="5">SUM(C13*G13)</f>
        <v>920</v>
      </c>
      <c r="I13" s="98">
        <f>SUM(F13+H13)</f>
        <v>4920</v>
      </c>
      <c r="J13" s="68"/>
    </row>
    <row r="14" spans="1:12" s="374" customFormat="1" ht="19.5" customHeight="1">
      <c r="A14" s="68"/>
      <c r="B14" s="370" t="s">
        <v>246</v>
      </c>
      <c r="C14" s="371">
        <v>10</v>
      </c>
      <c r="D14" s="372" t="s">
        <v>103</v>
      </c>
      <c r="E14" s="373">
        <v>1000</v>
      </c>
      <c r="F14" s="101">
        <f t="shared" si="4"/>
        <v>10000</v>
      </c>
      <c r="G14" s="348">
        <v>135</v>
      </c>
      <c r="H14" s="348">
        <f t="shared" si="5"/>
        <v>1350</v>
      </c>
      <c r="I14" s="98">
        <f>SUM(F14+H14)</f>
        <v>11350</v>
      </c>
      <c r="J14" s="68"/>
    </row>
    <row r="15" spans="1:12" s="382" customFormat="1" ht="19.5" customHeight="1">
      <c r="A15" s="379"/>
      <c r="B15" s="68" t="s">
        <v>247</v>
      </c>
      <c r="C15" s="378">
        <v>28</v>
      </c>
      <c r="D15" s="372" t="s">
        <v>103</v>
      </c>
      <c r="E15" s="380">
        <v>60</v>
      </c>
      <c r="F15" s="346">
        <f t="shared" ref="F15" si="6">C15*E15</f>
        <v>1680</v>
      </c>
      <c r="G15" s="346">
        <v>80</v>
      </c>
      <c r="H15" s="346">
        <f>SUM(G15*C15)</f>
        <v>2240</v>
      </c>
      <c r="I15" s="112">
        <f>SUM(H15+F15)</f>
        <v>3920</v>
      </c>
      <c r="J15" s="381"/>
      <c r="L15" s="383"/>
    </row>
    <row r="16" spans="1:12" s="374" customFormat="1" ht="19.5" customHeight="1">
      <c r="A16" s="114"/>
      <c r="B16" s="68" t="s">
        <v>248</v>
      </c>
      <c r="C16" s="345"/>
      <c r="D16" s="77"/>
      <c r="E16" s="346"/>
      <c r="F16" s="347"/>
      <c r="G16" s="346"/>
      <c r="H16" s="346"/>
      <c r="I16" s="112"/>
      <c r="J16" s="68"/>
    </row>
    <row r="17" spans="1:12" s="374" customFormat="1" ht="19.5" customHeight="1">
      <c r="A17" s="114"/>
      <c r="B17" s="68" t="s">
        <v>249</v>
      </c>
      <c r="C17" s="350">
        <v>24</v>
      </c>
      <c r="D17" s="77" t="s">
        <v>103</v>
      </c>
      <c r="E17" s="346">
        <v>200</v>
      </c>
      <c r="F17" s="347">
        <f>SUM(C17*E17)</f>
        <v>4800</v>
      </c>
      <c r="G17" s="346">
        <v>90</v>
      </c>
      <c r="H17" s="346">
        <f>SUM(G17*C17)</f>
        <v>2160</v>
      </c>
      <c r="I17" s="112">
        <f>SUM(H17+F17)</f>
        <v>6960</v>
      </c>
      <c r="J17" s="68"/>
    </row>
    <row r="18" spans="1:12" s="374" customFormat="1" ht="19.5" customHeight="1">
      <c r="A18" s="66"/>
      <c r="B18" s="107" t="s">
        <v>250</v>
      </c>
      <c r="C18" s="384">
        <v>35</v>
      </c>
      <c r="D18" s="104" t="s">
        <v>103</v>
      </c>
      <c r="E18" s="385">
        <v>1920</v>
      </c>
      <c r="F18" s="376">
        <f t="shared" ref="F18" si="7">SUM(C18*E18)</f>
        <v>67200</v>
      </c>
      <c r="G18" s="346">
        <v>400</v>
      </c>
      <c r="H18" s="346">
        <f t="shared" ref="H18" si="8">SUM(G18*C18)</f>
        <v>14000</v>
      </c>
      <c r="I18" s="112">
        <f>SUM(H18+F18)</f>
        <v>81200</v>
      </c>
      <c r="J18" s="68"/>
    </row>
    <row r="19" spans="1:12" s="374" customFormat="1" ht="18.95" customHeight="1">
      <c r="A19" s="114"/>
      <c r="B19" s="102" t="s">
        <v>251</v>
      </c>
      <c r="C19" s="345"/>
      <c r="D19" s="77"/>
      <c r="E19" s="346"/>
      <c r="F19" s="347"/>
      <c r="G19" s="386"/>
      <c r="H19" s="386"/>
      <c r="I19" s="106"/>
      <c r="J19" s="68"/>
    </row>
    <row r="20" spans="1:12" s="374" customFormat="1" ht="18.95" customHeight="1">
      <c r="A20" s="66"/>
      <c r="B20" s="68" t="s">
        <v>252</v>
      </c>
      <c r="C20" s="345"/>
      <c r="D20" s="77"/>
      <c r="E20" s="346"/>
      <c r="F20" s="347"/>
      <c r="G20" s="348"/>
      <c r="H20" s="348"/>
      <c r="I20" s="98"/>
      <c r="J20" s="68"/>
    </row>
    <row r="21" spans="1:12" ht="18.95" customHeight="1">
      <c r="A21" s="88"/>
      <c r="B21" s="387" t="s">
        <v>253</v>
      </c>
      <c r="C21" s="345">
        <v>1</v>
      </c>
      <c r="D21" s="77" t="s">
        <v>103</v>
      </c>
      <c r="E21" s="346">
        <v>12530</v>
      </c>
      <c r="F21" s="346">
        <f t="shared" ref="F21:F24" si="9">C21*E21</f>
        <v>12530</v>
      </c>
      <c r="G21" s="348">
        <v>1500</v>
      </c>
      <c r="H21" s="348">
        <f t="shared" ref="H21" si="10">SUM(C21*G21)</f>
        <v>1500</v>
      </c>
      <c r="I21" s="98">
        <f>SUM(F21+H21)</f>
        <v>14030</v>
      </c>
      <c r="J21" s="67"/>
      <c r="L21" s="64"/>
    </row>
    <row r="22" spans="1:12" s="374" customFormat="1" ht="18.95" customHeight="1">
      <c r="A22" s="68"/>
      <c r="B22" s="68" t="s">
        <v>254</v>
      </c>
      <c r="C22" s="350">
        <v>5</v>
      </c>
      <c r="D22" s="77" t="s">
        <v>103</v>
      </c>
      <c r="E22" s="346">
        <v>158</v>
      </c>
      <c r="F22" s="347">
        <f t="shared" si="9"/>
        <v>790</v>
      </c>
      <c r="G22" s="352" t="s">
        <v>95</v>
      </c>
      <c r="H22" s="352" t="s">
        <v>95</v>
      </c>
      <c r="I22" s="98">
        <f>SUM(F22)</f>
        <v>790</v>
      </c>
      <c r="J22" s="68"/>
    </row>
    <row r="23" spans="1:12" s="374" customFormat="1" ht="18.95" customHeight="1">
      <c r="A23" s="68"/>
      <c r="B23" s="68" t="s">
        <v>255</v>
      </c>
      <c r="C23" s="350">
        <v>12</v>
      </c>
      <c r="D23" s="77" t="s">
        <v>103</v>
      </c>
      <c r="E23" s="346">
        <v>158</v>
      </c>
      <c r="F23" s="347">
        <f t="shared" si="9"/>
        <v>1896</v>
      </c>
      <c r="G23" s="352" t="s">
        <v>95</v>
      </c>
      <c r="H23" s="352" t="s">
        <v>95</v>
      </c>
      <c r="I23" s="98">
        <f>SUM(F23)</f>
        <v>1896</v>
      </c>
      <c r="J23" s="68"/>
    </row>
    <row r="24" spans="1:12" s="374" customFormat="1" ht="18.95" customHeight="1">
      <c r="A24" s="68"/>
      <c r="B24" s="68" t="s">
        <v>256</v>
      </c>
      <c r="C24" s="350">
        <v>4</v>
      </c>
      <c r="D24" s="77" t="s">
        <v>103</v>
      </c>
      <c r="E24" s="346">
        <v>1533</v>
      </c>
      <c r="F24" s="347">
        <f t="shared" si="9"/>
        <v>6132</v>
      </c>
      <c r="G24" s="352" t="s">
        <v>95</v>
      </c>
      <c r="H24" s="352" t="s">
        <v>95</v>
      </c>
      <c r="I24" s="98">
        <f>SUM(F24)</f>
        <v>6132</v>
      </c>
      <c r="J24" s="68"/>
      <c r="K24" s="388"/>
      <c r="L24" s="377"/>
    </row>
    <row r="25" spans="1:12" s="70" customFormat="1" ht="18.95" customHeight="1">
      <c r="A25" s="114"/>
      <c r="B25" s="389" t="s">
        <v>257</v>
      </c>
      <c r="C25" s="350">
        <v>1</v>
      </c>
      <c r="D25" s="77" t="s">
        <v>103</v>
      </c>
      <c r="E25" s="347">
        <v>2200</v>
      </c>
      <c r="F25" s="346">
        <f>SUM(C25*E25)</f>
        <v>2200</v>
      </c>
      <c r="G25" s="358">
        <v>300</v>
      </c>
      <c r="H25" s="421">
        <f>SUM(C25*G25)</f>
        <v>300</v>
      </c>
      <c r="I25" s="390">
        <f>SUM(F25+H25)</f>
        <v>2500</v>
      </c>
      <c r="J25" s="67"/>
      <c r="L25" s="182"/>
    </row>
    <row r="26" spans="1:12" s="374" customFormat="1" ht="18.95" customHeight="1">
      <c r="A26" s="68"/>
      <c r="B26" s="68" t="s">
        <v>258</v>
      </c>
      <c r="C26" s="350">
        <v>1</v>
      </c>
      <c r="D26" s="77" t="s">
        <v>103</v>
      </c>
      <c r="E26" s="346">
        <v>2170</v>
      </c>
      <c r="F26" s="347">
        <f t="shared" ref="F26" si="11">C26*E26</f>
        <v>2170</v>
      </c>
      <c r="G26" s="348">
        <v>100</v>
      </c>
      <c r="H26" s="348">
        <f t="shared" ref="H26" si="12">SUM(C26*G26)</f>
        <v>100</v>
      </c>
      <c r="I26" s="98">
        <f>SUM(F26+H26)</f>
        <v>2270</v>
      </c>
      <c r="J26" s="68"/>
    </row>
    <row r="27" spans="1:12" s="374" customFormat="1" ht="18.95" customHeight="1">
      <c r="A27" s="106"/>
      <c r="B27" s="68"/>
      <c r="C27" s="350"/>
      <c r="D27" s="77"/>
      <c r="E27" s="346"/>
      <c r="F27" s="347"/>
      <c r="G27" s="402"/>
      <c r="H27" s="348"/>
      <c r="I27" s="98"/>
      <c r="J27" s="68"/>
    </row>
    <row r="28" spans="1:12" s="374" customFormat="1" ht="18.95" customHeight="1">
      <c r="A28" s="106"/>
      <c r="B28" s="68"/>
      <c r="C28" s="350"/>
      <c r="D28" s="77"/>
      <c r="E28" s="346"/>
      <c r="F28" s="347"/>
      <c r="G28" s="402"/>
      <c r="H28" s="348"/>
      <c r="I28" s="98"/>
      <c r="J28" s="68"/>
    </row>
    <row r="29" spans="1:12" ht="19.5" customHeight="1">
      <c r="A29" s="123"/>
      <c r="B29" s="66" t="s">
        <v>18</v>
      </c>
      <c r="C29" s="71"/>
      <c r="D29" s="66"/>
      <c r="E29" s="73"/>
      <c r="F29" s="115">
        <f>SUM(F9:F26)</f>
        <v>244138</v>
      </c>
      <c r="G29" s="436"/>
      <c r="H29" s="115">
        <f>SUM(H9:H26)</f>
        <v>31570</v>
      </c>
      <c r="I29" s="116"/>
      <c r="J29" s="67"/>
      <c r="K29" s="422">
        <f>+H29+F29</f>
        <v>275708</v>
      </c>
    </row>
    <row r="30" spans="1:12" ht="19.5" customHeight="1">
      <c r="A30" s="123"/>
      <c r="B30" s="114" t="s">
        <v>53</v>
      </c>
      <c r="C30" s="71"/>
      <c r="D30" s="66"/>
      <c r="E30" s="73"/>
      <c r="F30" s="69"/>
      <c r="G30" s="436"/>
      <c r="H30" s="437"/>
      <c r="I30" s="391">
        <f>SUM(I9:I26)</f>
        <v>275708</v>
      </c>
      <c r="J30" s="67"/>
      <c r="K30" s="72"/>
    </row>
    <row r="31" spans="1:12" s="374" customFormat="1" ht="18.75" customHeight="1">
      <c r="A31" s="68"/>
      <c r="B31" s="392" t="s">
        <v>134</v>
      </c>
      <c r="C31" s="378"/>
      <c r="D31" s="372"/>
      <c r="E31" s="373"/>
      <c r="F31" s="346"/>
      <c r="G31" s="348"/>
      <c r="H31" s="348"/>
      <c r="I31" s="98"/>
      <c r="J31" s="68"/>
    </row>
    <row r="32" spans="1:12" s="374" customFormat="1" ht="19.5" customHeight="1">
      <c r="A32" s="68"/>
      <c r="B32" s="370" t="s">
        <v>259</v>
      </c>
      <c r="C32" s="378">
        <v>1076</v>
      </c>
      <c r="D32" s="372" t="s">
        <v>260</v>
      </c>
      <c r="E32" s="373">
        <v>6</v>
      </c>
      <c r="F32" s="346">
        <f t="shared" ref="F32:F39" si="13">C32*E32</f>
        <v>6456</v>
      </c>
      <c r="G32" s="348">
        <v>5</v>
      </c>
      <c r="H32" s="348">
        <f t="shared" ref="H32:H39" si="14">SUM(C32*G32)</f>
        <v>5380</v>
      </c>
      <c r="I32" s="98">
        <f t="shared" ref="I32:I39" si="15">SUM(F32+H32)</f>
        <v>11836</v>
      </c>
      <c r="J32" s="68"/>
    </row>
    <row r="33" spans="1:14" s="374" customFormat="1" ht="19.5" customHeight="1">
      <c r="A33" s="66"/>
      <c r="B33" s="370" t="s">
        <v>261</v>
      </c>
      <c r="C33" s="378">
        <v>1340</v>
      </c>
      <c r="D33" s="372" t="s">
        <v>260</v>
      </c>
      <c r="E33" s="373">
        <v>8</v>
      </c>
      <c r="F33" s="346">
        <f t="shared" si="13"/>
        <v>10720</v>
      </c>
      <c r="G33" s="348">
        <v>7</v>
      </c>
      <c r="H33" s="348">
        <f t="shared" si="14"/>
        <v>9380</v>
      </c>
      <c r="I33" s="98">
        <f t="shared" si="15"/>
        <v>20100</v>
      </c>
      <c r="J33" s="68"/>
    </row>
    <row r="34" spans="1:14" s="374" customFormat="1" ht="20.100000000000001" customHeight="1">
      <c r="A34" s="66"/>
      <c r="B34" s="370" t="s">
        <v>262</v>
      </c>
      <c r="C34" s="378">
        <v>1123</v>
      </c>
      <c r="D34" s="372" t="s">
        <v>260</v>
      </c>
      <c r="E34" s="373">
        <v>12</v>
      </c>
      <c r="F34" s="346">
        <f t="shared" si="13"/>
        <v>13476</v>
      </c>
      <c r="G34" s="348">
        <v>10</v>
      </c>
      <c r="H34" s="348">
        <f t="shared" si="14"/>
        <v>11230</v>
      </c>
      <c r="I34" s="98">
        <f t="shared" si="15"/>
        <v>24706</v>
      </c>
      <c r="J34" s="68"/>
    </row>
    <row r="35" spans="1:14" s="374" customFormat="1" ht="20.100000000000001" customHeight="1">
      <c r="A35" s="66"/>
      <c r="B35" s="370" t="s">
        <v>263</v>
      </c>
      <c r="C35" s="378">
        <v>253</v>
      </c>
      <c r="D35" s="372" t="s">
        <v>260</v>
      </c>
      <c r="E35" s="373">
        <v>20</v>
      </c>
      <c r="F35" s="346">
        <f t="shared" si="13"/>
        <v>5060</v>
      </c>
      <c r="G35" s="348">
        <v>12</v>
      </c>
      <c r="H35" s="348">
        <f t="shared" si="14"/>
        <v>3036</v>
      </c>
      <c r="I35" s="98">
        <f t="shared" si="15"/>
        <v>8096</v>
      </c>
      <c r="J35" s="68"/>
    </row>
    <row r="36" spans="1:14" s="374" customFormat="1" ht="19.5" customHeight="1">
      <c r="A36" s="68"/>
      <c r="B36" s="370" t="s">
        <v>275</v>
      </c>
      <c r="C36" s="375">
        <v>355</v>
      </c>
      <c r="D36" s="372" t="s">
        <v>135</v>
      </c>
      <c r="E36" s="376">
        <v>76</v>
      </c>
      <c r="F36" s="346">
        <f t="shared" si="13"/>
        <v>26980</v>
      </c>
      <c r="G36" s="348">
        <v>66</v>
      </c>
      <c r="H36" s="348">
        <f t="shared" si="14"/>
        <v>23430</v>
      </c>
      <c r="I36" s="98">
        <f t="shared" si="15"/>
        <v>50410</v>
      </c>
      <c r="J36" s="68"/>
    </row>
    <row r="37" spans="1:14" s="374" customFormat="1" ht="19.5" customHeight="1">
      <c r="A37" s="66"/>
      <c r="B37" s="370" t="s">
        <v>276</v>
      </c>
      <c r="C37" s="375">
        <v>87</v>
      </c>
      <c r="D37" s="372" t="s">
        <v>135</v>
      </c>
      <c r="E37" s="376">
        <v>162</v>
      </c>
      <c r="F37" s="346">
        <f t="shared" si="13"/>
        <v>14094</v>
      </c>
      <c r="G37" s="348">
        <v>78</v>
      </c>
      <c r="H37" s="348">
        <f t="shared" si="14"/>
        <v>6786</v>
      </c>
      <c r="I37" s="98">
        <f t="shared" si="15"/>
        <v>20880</v>
      </c>
      <c r="J37" s="68"/>
    </row>
    <row r="38" spans="1:14" s="374" customFormat="1" ht="19.5" customHeight="1">
      <c r="A38" s="66"/>
      <c r="B38" s="370" t="s">
        <v>277</v>
      </c>
      <c r="C38" s="375">
        <v>20</v>
      </c>
      <c r="D38" s="372" t="s">
        <v>135</v>
      </c>
      <c r="E38" s="376">
        <v>216</v>
      </c>
      <c r="F38" s="346">
        <f t="shared" si="13"/>
        <v>4320</v>
      </c>
      <c r="G38" s="348">
        <v>84</v>
      </c>
      <c r="H38" s="348">
        <f t="shared" si="14"/>
        <v>1680</v>
      </c>
      <c r="I38" s="98">
        <f t="shared" si="15"/>
        <v>6000</v>
      </c>
      <c r="J38" s="68"/>
    </row>
    <row r="39" spans="1:14" s="374" customFormat="1" ht="19.5" customHeight="1">
      <c r="A39" s="66"/>
      <c r="B39" s="370" t="s">
        <v>264</v>
      </c>
      <c r="C39" s="375">
        <v>1</v>
      </c>
      <c r="D39" s="372" t="s">
        <v>103</v>
      </c>
      <c r="E39" s="376">
        <v>70</v>
      </c>
      <c r="F39" s="346">
        <f t="shared" si="13"/>
        <v>70</v>
      </c>
      <c r="G39" s="348">
        <v>60</v>
      </c>
      <c r="H39" s="348">
        <f t="shared" si="14"/>
        <v>60</v>
      </c>
      <c r="I39" s="98">
        <f t="shared" si="15"/>
        <v>130</v>
      </c>
      <c r="J39" s="68"/>
    </row>
    <row r="40" spans="1:14" s="374" customFormat="1" ht="19.5" customHeight="1">
      <c r="A40" s="68"/>
      <c r="B40" s="370" t="s">
        <v>136</v>
      </c>
      <c r="C40" s="375">
        <v>1</v>
      </c>
      <c r="D40" s="372" t="s">
        <v>19</v>
      </c>
      <c r="E40" s="376"/>
      <c r="F40" s="376">
        <f>SUM(C40*E40)</f>
        <v>0</v>
      </c>
      <c r="G40" s="352" t="s">
        <v>95</v>
      </c>
      <c r="H40" s="352" t="s">
        <v>95</v>
      </c>
      <c r="I40" s="98">
        <f>SUM(F40)</f>
        <v>0</v>
      </c>
      <c r="J40" s="68"/>
      <c r="L40" s="388" t="s">
        <v>265</v>
      </c>
      <c r="N40" s="377" t="e">
        <f>SUM(#REF!+F19+#REF!)</f>
        <v>#REF!</v>
      </c>
    </row>
    <row r="41" spans="1:14" s="70" customFormat="1" ht="18.95" customHeight="1">
      <c r="A41" s="114"/>
      <c r="B41" s="389"/>
      <c r="C41" s="350"/>
      <c r="D41" s="77"/>
      <c r="E41" s="347"/>
      <c r="F41" s="346"/>
      <c r="G41" s="358"/>
      <c r="H41" s="421"/>
      <c r="I41" s="390"/>
      <c r="J41" s="67"/>
      <c r="L41" s="182"/>
    </row>
    <row r="42" spans="1:14" s="374" customFormat="1" ht="18.75" customHeight="1">
      <c r="A42" s="68"/>
      <c r="B42" s="392"/>
      <c r="C42" s="378"/>
      <c r="D42" s="372"/>
      <c r="E42" s="373"/>
      <c r="F42" s="346"/>
      <c r="G42" s="348"/>
      <c r="H42" s="348"/>
      <c r="I42" s="98"/>
      <c r="J42" s="68"/>
    </row>
    <row r="43" spans="1:14" s="374" customFormat="1" ht="19.5" customHeight="1">
      <c r="A43" s="68"/>
      <c r="B43" s="370"/>
      <c r="C43" s="378"/>
      <c r="D43" s="372"/>
      <c r="E43" s="373"/>
      <c r="F43" s="346"/>
      <c r="G43" s="348"/>
      <c r="H43" s="348"/>
      <c r="I43" s="98"/>
      <c r="J43" s="68"/>
    </row>
    <row r="44" spans="1:14" s="374" customFormat="1" ht="19.5" customHeight="1">
      <c r="A44" s="66"/>
      <c r="B44" s="370"/>
      <c r="C44" s="378"/>
      <c r="D44" s="372"/>
      <c r="E44" s="373"/>
      <c r="F44" s="346"/>
      <c r="G44" s="348"/>
      <c r="H44" s="348"/>
      <c r="I44" s="98"/>
      <c r="J44" s="68"/>
    </row>
    <row r="45" spans="1:14" s="374" customFormat="1" ht="19.5" customHeight="1">
      <c r="A45" s="66"/>
      <c r="B45" s="370"/>
      <c r="C45" s="378"/>
      <c r="D45" s="372"/>
      <c r="E45" s="373"/>
      <c r="F45" s="346"/>
      <c r="G45" s="348"/>
      <c r="H45" s="348"/>
      <c r="I45" s="98"/>
      <c r="J45" s="68"/>
    </row>
    <row r="46" spans="1:14" s="374" customFormat="1" ht="19.5" customHeight="1">
      <c r="A46" s="66"/>
      <c r="B46" s="370"/>
      <c r="C46" s="378"/>
      <c r="D46" s="372"/>
      <c r="E46" s="373"/>
      <c r="F46" s="346"/>
      <c r="G46" s="348"/>
      <c r="H46" s="348"/>
      <c r="I46" s="98"/>
      <c r="J46" s="68"/>
    </row>
    <row r="47" spans="1:14" s="374" customFormat="1" ht="19.5" customHeight="1">
      <c r="A47" s="66"/>
      <c r="B47" s="370"/>
      <c r="C47" s="378"/>
      <c r="D47" s="372"/>
      <c r="E47" s="373"/>
      <c r="F47" s="346"/>
      <c r="G47" s="348"/>
      <c r="H47" s="348"/>
      <c r="I47" s="98"/>
      <c r="J47" s="68"/>
    </row>
    <row r="48" spans="1:14" s="374" customFormat="1" ht="19.5" customHeight="1">
      <c r="A48" s="66"/>
      <c r="B48" s="68"/>
      <c r="C48" s="351"/>
      <c r="D48" s="77"/>
      <c r="E48" s="393"/>
      <c r="F48" s="346"/>
      <c r="G48" s="346"/>
      <c r="H48" s="346"/>
      <c r="I48" s="112"/>
      <c r="J48" s="68"/>
    </row>
    <row r="49" spans="1:13" s="382" customFormat="1" ht="19.5" customHeight="1">
      <c r="A49" s="379"/>
      <c r="B49" s="68"/>
      <c r="C49" s="378"/>
      <c r="D49" s="372"/>
      <c r="E49" s="380"/>
      <c r="F49" s="346"/>
      <c r="G49" s="346"/>
      <c r="H49" s="346"/>
      <c r="I49" s="112"/>
      <c r="J49" s="381"/>
      <c r="L49" s="383"/>
    </row>
    <row r="50" spans="1:13" s="382" customFormat="1" ht="19.5" customHeight="1">
      <c r="A50" s="379"/>
      <c r="B50" s="68"/>
      <c r="C50" s="378"/>
      <c r="D50" s="372"/>
      <c r="E50" s="380"/>
      <c r="F50" s="346"/>
      <c r="G50" s="346"/>
      <c r="H50" s="346"/>
      <c r="I50" s="112"/>
      <c r="J50" s="381"/>
      <c r="L50" s="383"/>
    </row>
    <row r="51" spans="1:13" ht="19.5" customHeight="1">
      <c r="A51" s="123"/>
      <c r="B51" s="66" t="s">
        <v>18</v>
      </c>
      <c r="C51" s="71"/>
      <c r="D51" s="66"/>
      <c r="E51" s="73"/>
      <c r="F51" s="115">
        <f>SUM(F32:F49)</f>
        <v>81176</v>
      </c>
      <c r="G51" s="436"/>
      <c r="H51" s="115">
        <f>SUM(H32:H49)</f>
        <v>60982</v>
      </c>
      <c r="I51" s="116"/>
      <c r="J51" s="67"/>
      <c r="K51" s="422">
        <f>+H51+F51</f>
        <v>142158</v>
      </c>
    </row>
    <row r="52" spans="1:13" ht="19.5" customHeight="1">
      <c r="A52" s="123"/>
      <c r="B52" s="114" t="s">
        <v>53</v>
      </c>
      <c r="C52" s="71"/>
      <c r="D52" s="66"/>
      <c r="E52" s="73"/>
      <c r="F52" s="69"/>
      <c r="G52" s="436"/>
      <c r="H52" s="437"/>
      <c r="I52" s="391">
        <f>SUM(I32:I50)</f>
        <v>142158</v>
      </c>
      <c r="J52" s="67"/>
      <c r="K52" s="72"/>
      <c r="L52" s="423" t="s">
        <v>266</v>
      </c>
      <c r="M52" s="186">
        <f>SUM(K29+K51)</f>
        <v>417866</v>
      </c>
    </row>
    <row r="53" spans="1:13" s="374" customFormat="1" ht="19.5" customHeight="1">
      <c r="A53" s="114"/>
      <c r="B53" s="424" t="s">
        <v>267</v>
      </c>
      <c r="C53" s="378"/>
      <c r="D53" s="372"/>
      <c r="E53" s="373"/>
      <c r="F53" s="347"/>
      <c r="G53" s="386"/>
      <c r="H53" s="386"/>
      <c r="I53" s="106"/>
      <c r="J53" s="68"/>
    </row>
    <row r="54" spans="1:13" s="374" customFormat="1" ht="19.5" customHeight="1">
      <c r="A54" s="68"/>
      <c r="B54" s="107" t="s">
        <v>268</v>
      </c>
      <c r="C54" s="384">
        <v>1</v>
      </c>
      <c r="D54" s="77" t="s">
        <v>117</v>
      </c>
      <c r="E54" s="394">
        <v>3000</v>
      </c>
      <c r="F54" s="376">
        <f t="shared" ref="F54:F61" si="16">SUM(C54*E54)</f>
        <v>3000</v>
      </c>
      <c r="G54" s="348">
        <v>500</v>
      </c>
      <c r="H54" s="348">
        <f>SUM(C54*G54)</f>
        <v>500</v>
      </c>
      <c r="I54" s="98">
        <f>SUM(F54+H54)</f>
        <v>3500</v>
      </c>
      <c r="J54" s="68"/>
      <c r="K54" s="425"/>
      <c r="L54" s="377"/>
    </row>
    <row r="55" spans="1:13" s="374" customFormat="1" ht="19.5" customHeight="1">
      <c r="A55" s="66"/>
      <c r="B55" s="107" t="s">
        <v>269</v>
      </c>
      <c r="C55" s="371">
        <v>1</v>
      </c>
      <c r="D55" s="395" t="s">
        <v>103</v>
      </c>
      <c r="E55" s="394">
        <v>75</v>
      </c>
      <c r="F55" s="376">
        <f t="shared" si="16"/>
        <v>75</v>
      </c>
      <c r="G55" s="386" t="s">
        <v>95</v>
      </c>
      <c r="H55" s="386" t="s">
        <v>95</v>
      </c>
      <c r="I55" s="112">
        <f>SUM(F55)</f>
        <v>75</v>
      </c>
      <c r="J55" s="353"/>
    </row>
    <row r="56" spans="1:13" s="374" customFormat="1" ht="19.5" customHeight="1">
      <c r="A56" s="66"/>
      <c r="B56" s="107" t="s">
        <v>270</v>
      </c>
      <c r="C56" s="396">
        <v>1</v>
      </c>
      <c r="D56" s="395" t="s">
        <v>103</v>
      </c>
      <c r="E56" s="394">
        <v>370</v>
      </c>
      <c r="F56" s="376">
        <f t="shared" si="16"/>
        <v>370</v>
      </c>
      <c r="G56" s="386" t="s">
        <v>95</v>
      </c>
      <c r="H56" s="386" t="s">
        <v>95</v>
      </c>
      <c r="I56" s="112">
        <f>SUM(F56)</f>
        <v>370</v>
      </c>
      <c r="J56" s="68"/>
      <c r="K56" s="377"/>
    </row>
    <row r="57" spans="1:13" s="374" customFormat="1" ht="19.5" customHeight="1">
      <c r="A57" s="66"/>
      <c r="B57" s="107" t="s">
        <v>271</v>
      </c>
      <c r="C57" s="396">
        <v>2</v>
      </c>
      <c r="D57" s="395" t="s">
        <v>103</v>
      </c>
      <c r="E57" s="394">
        <v>550</v>
      </c>
      <c r="F57" s="376">
        <f t="shared" si="16"/>
        <v>1100</v>
      </c>
      <c r="G57" s="386" t="s">
        <v>95</v>
      </c>
      <c r="H57" s="386" t="s">
        <v>95</v>
      </c>
      <c r="I57" s="112">
        <f>SUM(F57)</f>
        <v>1100</v>
      </c>
      <c r="J57" s="68"/>
      <c r="K57" s="377"/>
    </row>
    <row r="58" spans="1:13" s="374" customFormat="1" ht="19.5" customHeight="1">
      <c r="A58" s="68"/>
      <c r="B58" s="370" t="s">
        <v>272</v>
      </c>
      <c r="C58" s="371">
        <v>2</v>
      </c>
      <c r="D58" s="397" t="s">
        <v>103</v>
      </c>
      <c r="E58" s="394">
        <v>180</v>
      </c>
      <c r="F58" s="347">
        <f t="shared" si="16"/>
        <v>360</v>
      </c>
      <c r="G58" s="348">
        <v>90</v>
      </c>
      <c r="H58" s="348">
        <f>SUM(C58*G58)</f>
        <v>180</v>
      </c>
      <c r="I58" s="98">
        <f>SUM(F58+H58)</f>
        <v>540</v>
      </c>
      <c r="J58" s="68"/>
    </row>
    <row r="59" spans="1:13" s="374" customFormat="1" ht="19.5" customHeight="1">
      <c r="A59" s="66"/>
      <c r="B59" s="398" t="s">
        <v>273</v>
      </c>
      <c r="C59" s="371">
        <v>48</v>
      </c>
      <c r="D59" s="399" t="s">
        <v>260</v>
      </c>
      <c r="E59" s="394">
        <v>14</v>
      </c>
      <c r="F59" s="347">
        <f t="shared" si="16"/>
        <v>672</v>
      </c>
      <c r="G59" s="348">
        <v>7</v>
      </c>
      <c r="H59" s="348">
        <f>SUM(C59*G59)</f>
        <v>336</v>
      </c>
      <c r="I59" s="98">
        <f>SUM(F59+H59)</f>
        <v>1008</v>
      </c>
      <c r="J59" s="68"/>
    </row>
    <row r="60" spans="1:13" ht="19.5" customHeight="1">
      <c r="A60" s="88"/>
      <c r="B60" s="370" t="s">
        <v>274</v>
      </c>
      <c r="C60" s="371">
        <v>15</v>
      </c>
      <c r="D60" s="372" t="s">
        <v>135</v>
      </c>
      <c r="E60" s="394">
        <v>76</v>
      </c>
      <c r="F60" s="360">
        <f t="shared" si="16"/>
        <v>1140</v>
      </c>
      <c r="G60" s="400">
        <v>54</v>
      </c>
      <c r="H60" s="400">
        <f>SUM(C60*G60)</f>
        <v>810</v>
      </c>
      <c r="I60" s="100">
        <f>SUM(F60+H60)</f>
        <v>1950</v>
      </c>
      <c r="J60" s="67"/>
      <c r="L60" s="64"/>
    </row>
    <row r="61" spans="1:13" s="374" customFormat="1" ht="19.5" customHeight="1">
      <c r="A61" s="68"/>
      <c r="B61" s="370" t="s">
        <v>136</v>
      </c>
      <c r="C61" s="378">
        <v>1</v>
      </c>
      <c r="D61" s="372" t="s">
        <v>19</v>
      </c>
      <c r="E61" s="373">
        <v>1000</v>
      </c>
      <c r="F61" s="347">
        <f t="shared" si="16"/>
        <v>1000</v>
      </c>
      <c r="G61" s="386" t="s">
        <v>95</v>
      </c>
      <c r="H61" s="386" t="s">
        <v>95</v>
      </c>
      <c r="I61" s="191">
        <f>SUM(F61)</f>
        <v>1000</v>
      </c>
      <c r="J61" s="68"/>
      <c r="K61" s="388">
        <v>0.15</v>
      </c>
      <c r="L61" s="377"/>
    </row>
    <row r="62" spans="1:13" s="374" customFormat="1" ht="19.5" customHeight="1">
      <c r="A62" s="68"/>
      <c r="B62" s="370"/>
      <c r="C62" s="378"/>
      <c r="D62" s="372"/>
      <c r="E62" s="373"/>
      <c r="F62" s="347"/>
      <c r="G62" s="386"/>
      <c r="H62" s="386"/>
      <c r="I62" s="355"/>
      <c r="J62" s="68"/>
      <c r="K62" s="388"/>
      <c r="L62" s="377"/>
    </row>
    <row r="63" spans="1:13" s="374" customFormat="1" ht="19.5" customHeight="1">
      <c r="A63" s="68"/>
      <c r="B63" s="370"/>
      <c r="C63" s="378"/>
      <c r="D63" s="372"/>
      <c r="E63" s="373"/>
      <c r="F63" s="347"/>
      <c r="G63" s="386"/>
      <c r="H63" s="386"/>
      <c r="I63" s="355"/>
      <c r="J63" s="68"/>
      <c r="K63" s="388"/>
      <c r="L63" s="377"/>
    </row>
    <row r="64" spans="1:13" s="374" customFormat="1" ht="19.5" customHeight="1">
      <c r="A64" s="68"/>
      <c r="B64" s="370"/>
      <c r="C64" s="378"/>
      <c r="D64" s="372"/>
      <c r="E64" s="373"/>
      <c r="F64" s="347"/>
      <c r="G64" s="386"/>
      <c r="H64" s="386"/>
      <c r="I64" s="355"/>
      <c r="J64" s="68"/>
      <c r="K64" s="388"/>
      <c r="L64" s="377"/>
    </row>
    <row r="65" spans="1:13" s="374" customFormat="1" ht="19.5" customHeight="1">
      <c r="A65" s="68"/>
      <c r="B65" s="370"/>
      <c r="C65" s="378"/>
      <c r="D65" s="372"/>
      <c r="E65" s="373"/>
      <c r="F65" s="347"/>
      <c r="G65" s="386"/>
      <c r="H65" s="386"/>
      <c r="I65" s="355"/>
      <c r="J65" s="68"/>
      <c r="K65" s="388"/>
      <c r="L65" s="377"/>
    </row>
    <row r="66" spans="1:13" s="374" customFormat="1" ht="19.5" customHeight="1">
      <c r="A66" s="68"/>
      <c r="B66" s="370"/>
      <c r="C66" s="378"/>
      <c r="D66" s="372"/>
      <c r="E66" s="373"/>
      <c r="F66" s="347"/>
      <c r="G66" s="386"/>
      <c r="H66" s="386"/>
      <c r="I66" s="355"/>
      <c r="J66" s="68"/>
      <c r="K66" s="388"/>
      <c r="L66" s="377"/>
    </row>
    <row r="67" spans="1:13" s="374" customFormat="1" ht="19.5" customHeight="1">
      <c r="A67" s="68"/>
      <c r="B67" s="370"/>
      <c r="C67" s="378"/>
      <c r="D67" s="372"/>
      <c r="E67" s="373"/>
      <c r="F67" s="347"/>
      <c r="G67" s="386"/>
      <c r="H67" s="386"/>
      <c r="I67" s="355"/>
      <c r="J67" s="68"/>
      <c r="K67" s="388"/>
      <c r="L67" s="377"/>
    </row>
    <row r="68" spans="1:13" s="374" customFormat="1" ht="19.5" customHeight="1">
      <c r="A68" s="68"/>
      <c r="B68" s="370"/>
      <c r="C68" s="378"/>
      <c r="D68" s="372"/>
      <c r="E68" s="373"/>
      <c r="F68" s="347"/>
      <c r="G68" s="386"/>
      <c r="H68" s="386"/>
      <c r="I68" s="355"/>
      <c r="J68" s="68"/>
      <c r="K68" s="388"/>
      <c r="L68" s="377"/>
    </row>
    <row r="69" spans="1:13" s="374" customFormat="1" ht="19.5" customHeight="1">
      <c r="A69" s="68"/>
      <c r="B69" s="370"/>
      <c r="C69" s="378"/>
      <c r="D69" s="372"/>
      <c r="E69" s="373"/>
      <c r="F69" s="347"/>
      <c r="G69" s="386"/>
      <c r="H69" s="386"/>
      <c r="I69" s="355"/>
      <c r="J69" s="68"/>
      <c r="K69" s="388"/>
      <c r="L69" s="377"/>
    </row>
    <row r="70" spans="1:13" s="374" customFormat="1" ht="19.5" customHeight="1">
      <c r="A70" s="66"/>
      <c r="B70" s="68"/>
      <c r="C70" s="66"/>
      <c r="D70" s="372"/>
      <c r="E70" s="373"/>
      <c r="F70" s="401"/>
      <c r="G70" s="346"/>
      <c r="H70" s="346"/>
      <c r="I70" s="112"/>
      <c r="J70" s="68"/>
    </row>
    <row r="71" spans="1:13" s="374" customFormat="1" ht="19.5" customHeight="1">
      <c r="A71" s="66"/>
      <c r="B71" s="68"/>
      <c r="C71" s="66"/>
      <c r="D71" s="372"/>
      <c r="E71" s="373"/>
      <c r="F71" s="347"/>
      <c r="G71" s="346"/>
      <c r="H71" s="346"/>
      <c r="I71" s="112"/>
      <c r="J71" s="68"/>
    </row>
    <row r="72" spans="1:13" s="374" customFormat="1" ht="19.5" customHeight="1">
      <c r="A72" s="68"/>
      <c r="B72" s="68"/>
      <c r="C72" s="66"/>
      <c r="D72" s="372"/>
      <c r="E72" s="373"/>
      <c r="F72" s="347"/>
      <c r="G72" s="346"/>
      <c r="H72" s="346"/>
      <c r="I72" s="112"/>
      <c r="J72" s="68"/>
    </row>
    <row r="73" spans="1:13" ht="19.5" customHeight="1">
      <c r="A73" s="123"/>
      <c r="B73" s="66" t="s">
        <v>18</v>
      </c>
      <c r="C73" s="71"/>
      <c r="D73" s="66"/>
      <c r="E73" s="73"/>
      <c r="F73" s="115">
        <f>SUM(F54:F71)</f>
        <v>7717</v>
      </c>
      <c r="G73" s="436"/>
      <c r="H73" s="115">
        <f>SUM(H54:H71)</f>
        <v>1826</v>
      </c>
      <c r="I73" s="116"/>
      <c r="J73" s="67"/>
      <c r="K73" s="422">
        <f>+H73+F73</f>
        <v>9543</v>
      </c>
    </row>
    <row r="74" spans="1:13" ht="19.5" customHeight="1">
      <c r="A74" s="123"/>
      <c r="B74" s="114" t="s">
        <v>53</v>
      </c>
      <c r="C74" s="71"/>
      <c r="D74" s="66"/>
      <c r="E74" s="73"/>
      <c r="F74" s="69"/>
      <c r="G74" s="436"/>
      <c r="H74" s="437"/>
      <c r="I74" s="391">
        <f>SUM(I54:I72)</f>
        <v>9543</v>
      </c>
      <c r="J74" s="67"/>
      <c r="K74" s="72">
        <f>+I74+I52+I30</f>
        <v>427409</v>
      </c>
      <c r="L74" s="423" t="s">
        <v>266</v>
      </c>
      <c r="M74" s="186">
        <f>SUM(I74)</f>
        <v>9543</v>
      </c>
    </row>
  </sheetData>
  <mergeCells count="8">
    <mergeCell ref="A1:J1"/>
    <mergeCell ref="E6:F6"/>
    <mergeCell ref="G6:H6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13" right="0.16" top="0.39370078740157483" bottom="0.2" header="0.11811023622047245" footer="0.17"/>
  <pageSetup paperSize="9" orientation="landscape" horizontalDpi="1200" verticalDpi="1200" r:id="rId1"/>
  <headerFooter>
    <oddHeader>&amp;Rแบบ ปร. 4 แผ่นที่ 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1"/>
  <sheetViews>
    <sheetView view="pageBreakPreview" topLeftCell="A91" zoomScale="85" zoomScaleSheetLayoutView="85" workbookViewId="0">
      <selection sqref="A1:J121"/>
    </sheetView>
  </sheetViews>
  <sheetFormatPr defaultRowHeight="18"/>
  <cols>
    <col min="1" max="1" width="10.7109375" style="18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2" s="169" customForma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  <c r="L1" s="169">
        <v>304000</v>
      </c>
    </row>
    <row r="2" spans="1:12" s="174" customForma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2" s="169" customForma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tr">
        <f>+ฟฟ.!G3</f>
        <v>35-2-062,62-2-107</v>
      </c>
      <c r="H3" s="172"/>
      <c r="I3" s="172"/>
      <c r="J3" s="171"/>
    </row>
    <row r="4" spans="1:12" s="174" customForma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2" s="174" customFormat="1" ht="18.75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2" ht="18.75" thickTop="1">
      <c r="A6" s="507" t="s">
        <v>61</v>
      </c>
      <c r="B6" s="507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2" ht="18.75" thickBot="1">
      <c r="A7" s="508"/>
      <c r="B7" s="508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2" ht="18.75" thickTop="1">
      <c r="A8" s="132"/>
      <c r="B8" s="129" t="s">
        <v>120</v>
      </c>
      <c r="C8" s="109"/>
      <c r="D8" s="65"/>
      <c r="E8" s="110"/>
      <c r="F8" s="110"/>
      <c r="G8" s="110"/>
      <c r="H8" s="435"/>
      <c r="I8" s="111"/>
      <c r="J8" s="65"/>
    </row>
    <row r="9" spans="1:12" s="70" customFormat="1">
      <c r="A9" s="114"/>
      <c r="B9" s="439" t="s">
        <v>296</v>
      </c>
      <c r="C9" s="71"/>
      <c r="D9" s="66"/>
      <c r="E9" s="69"/>
      <c r="F9" s="69"/>
      <c r="G9" s="69"/>
      <c r="H9" s="69"/>
      <c r="I9" s="112"/>
      <c r="J9" s="67"/>
      <c r="L9" s="182"/>
    </row>
    <row r="10" spans="1:12" s="70" customFormat="1">
      <c r="A10" s="114"/>
      <c r="B10" s="67" t="s">
        <v>297</v>
      </c>
      <c r="C10" s="189">
        <v>88</v>
      </c>
      <c r="D10" s="88" t="s">
        <v>104</v>
      </c>
      <c r="E10" s="113">
        <v>13</v>
      </c>
      <c r="F10" s="113">
        <f>SUM(E10*C10)</f>
        <v>1144</v>
      </c>
      <c r="G10" s="113">
        <v>30</v>
      </c>
      <c r="H10" s="113">
        <f>SUM(G10*C10)</f>
        <v>2640</v>
      </c>
      <c r="I10" s="86">
        <f>SUM(H10+F10)</f>
        <v>3784</v>
      </c>
      <c r="J10" s="67"/>
      <c r="L10" s="182"/>
    </row>
    <row r="11" spans="1:12" s="70" customFormat="1">
      <c r="A11" s="114"/>
      <c r="B11" s="67" t="s">
        <v>298</v>
      </c>
      <c r="C11" s="189">
        <v>18</v>
      </c>
      <c r="D11" s="88" t="s">
        <v>104</v>
      </c>
      <c r="E11" s="113">
        <v>16</v>
      </c>
      <c r="F11" s="113">
        <f>SUM(E11*C11)</f>
        <v>288</v>
      </c>
      <c r="G11" s="113">
        <v>30</v>
      </c>
      <c r="H11" s="113">
        <f>SUM(G11*C11)</f>
        <v>540</v>
      </c>
      <c r="I11" s="86">
        <f>SUM(H11+F11)</f>
        <v>828</v>
      </c>
      <c r="J11" s="67"/>
      <c r="L11" s="182"/>
    </row>
    <row r="12" spans="1:12" s="70" customFormat="1">
      <c r="A12" s="114"/>
      <c r="B12" s="67" t="s">
        <v>299</v>
      </c>
      <c r="C12" s="189">
        <v>6</v>
      </c>
      <c r="D12" s="88" t="s">
        <v>104</v>
      </c>
      <c r="E12" s="113">
        <v>25</v>
      </c>
      <c r="F12" s="113">
        <f>SUM(E12*C12)</f>
        <v>150</v>
      </c>
      <c r="G12" s="113">
        <v>30</v>
      </c>
      <c r="H12" s="113">
        <f>SUM(G12*C12)</f>
        <v>180</v>
      </c>
      <c r="I12" s="86">
        <f>SUM(H12+F12)</f>
        <v>330</v>
      </c>
      <c r="J12" s="67"/>
      <c r="L12" s="182"/>
    </row>
    <row r="13" spans="1:12" s="70" customFormat="1">
      <c r="A13" s="114"/>
      <c r="B13" s="67" t="s">
        <v>300</v>
      </c>
      <c r="C13" s="189">
        <v>6</v>
      </c>
      <c r="D13" s="88" t="s">
        <v>104</v>
      </c>
      <c r="E13" s="113">
        <v>37</v>
      </c>
      <c r="F13" s="113">
        <f>SUM(E13*C13)</f>
        <v>222</v>
      </c>
      <c r="G13" s="113">
        <v>30</v>
      </c>
      <c r="H13" s="113">
        <f>SUM(G13*C13)</f>
        <v>180</v>
      </c>
      <c r="I13" s="86">
        <f>SUM(H13+F13)</f>
        <v>402</v>
      </c>
      <c r="J13" s="67"/>
      <c r="L13" s="182"/>
    </row>
    <row r="14" spans="1:12" s="70" customFormat="1">
      <c r="A14" s="114"/>
      <c r="B14" s="440" t="s">
        <v>301</v>
      </c>
      <c r="C14" s="71"/>
      <c r="D14" s="66"/>
      <c r="E14" s="73"/>
      <c r="F14" s="193"/>
      <c r="G14" s="441"/>
      <c r="H14" s="441"/>
      <c r="I14" s="442"/>
      <c r="J14" s="67"/>
      <c r="L14" s="182"/>
    </row>
    <row r="15" spans="1:12" s="70" customFormat="1">
      <c r="A15" s="114"/>
      <c r="B15" s="103" t="s">
        <v>302</v>
      </c>
      <c r="C15" s="443">
        <v>42</v>
      </c>
      <c r="D15" s="120" t="s">
        <v>260</v>
      </c>
      <c r="E15" s="119">
        <v>54</v>
      </c>
      <c r="F15" s="119">
        <f>SUM(E15*C15)</f>
        <v>2268</v>
      </c>
      <c r="G15" s="119">
        <v>50</v>
      </c>
      <c r="H15" s="119">
        <f>SUM(G15*C15)</f>
        <v>2100</v>
      </c>
      <c r="I15" s="100">
        <f>SUM(H15+F15)</f>
        <v>4368</v>
      </c>
      <c r="J15" s="67"/>
      <c r="L15" s="182"/>
    </row>
    <row r="16" spans="1:12" s="70" customFormat="1">
      <c r="A16" s="114"/>
      <c r="B16" s="103" t="s">
        <v>303</v>
      </c>
      <c r="C16" s="443">
        <v>46</v>
      </c>
      <c r="D16" s="120" t="s">
        <v>260</v>
      </c>
      <c r="E16" s="119">
        <v>86</v>
      </c>
      <c r="F16" s="119">
        <f>SUM(E16*C16)</f>
        <v>3956</v>
      </c>
      <c r="G16" s="119">
        <v>75</v>
      </c>
      <c r="H16" s="119">
        <f>SUM(G16*C16)</f>
        <v>3450</v>
      </c>
      <c r="I16" s="100">
        <f>SUM(H16+F16)</f>
        <v>7406</v>
      </c>
      <c r="J16" s="67"/>
      <c r="K16" s="185">
        <f>SUM(F10:F16)</f>
        <v>8028</v>
      </c>
      <c r="L16" s="182"/>
    </row>
    <row r="17" spans="1:12" s="70" customFormat="1">
      <c r="A17" s="114"/>
      <c r="B17" s="68" t="s">
        <v>304</v>
      </c>
      <c r="C17" s="88">
        <v>1</v>
      </c>
      <c r="D17" s="88" t="s">
        <v>19</v>
      </c>
      <c r="E17" s="113">
        <v>2408</v>
      </c>
      <c r="F17" s="113">
        <f>SUM(E17*C17)</f>
        <v>2408</v>
      </c>
      <c r="G17" s="113">
        <v>723</v>
      </c>
      <c r="H17" s="113">
        <f>SUM(G17*C17)</f>
        <v>723</v>
      </c>
      <c r="I17" s="86">
        <f>SUM(H17+F17)</f>
        <v>3131</v>
      </c>
      <c r="J17" s="67"/>
      <c r="K17" s="70">
        <f>SUM(K16*30%)</f>
        <v>2408.4</v>
      </c>
      <c r="L17" s="182">
        <f>SUM(K17*30%)</f>
        <v>722.52</v>
      </c>
    </row>
    <row r="18" spans="1:12" s="70" customFormat="1">
      <c r="A18" s="114"/>
      <c r="B18" s="68" t="s">
        <v>305</v>
      </c>
      <c r="C18" s="88">
        <v>1</v>
      </c>
      <c r="D18" s="88" t="s">
        <v>19</v>
      </c>
      <c r="E18" s="113">
        <v>803</v>
      </c>
      <c r="F18" s="113">
        <f>SUM(E18*C18)</f>
        <v>803</v>
      </c>
      <c r="G18" s="113">
        <v>240</v>
      </c>
      <c r="H18" s="113">
        <f>SUM(G18*C18)</f>
        <v>240</v>
      </c>
      <c r="I18" s="86">
        <f>SUM(H18+F18)</f>
        <v>1043</v>
      </c>
      <c r="J18" s="67"/>
      <c r="K18" s="70">
        <f>SUM(K16*10%)</f>
        <v>802.80000000000007</v>
      </c>
      <c r="L18" s="182">
        <f>SUM(K18*30%)</f>
        <v>240.84</v>
      </c>
    </row>
    <row r="19" spans="1:12" s="70" customFormat="1">
      <c r="A19" s="114"/>
      <c r="B19" s="87" t="s">
        <v>306</v>
      </c>
      <c r="C19" s="88"/>
      <c r="D19" s="88"/>
      <c r="E19" s="119"/>
      <c r="F19" s="119"/>
      <c r="G19" s="119"/>
      <c r="H19" s="119"/>
      <c r="I19" s="100"/>
      <c r="J19" s="67"/>
      <c r="L19" s="182"/>
    </row>
    <row r="20" spans="1:12" s="70" customFormat="1">
      <c r="A20" s="114"/>
      <c r="B20" s="67" t="s">
        <v>297</v>
      </c>
      <c r="C20" s="88">
        <v>10</v>
      </c>
      <c r="D20" s="88" t="s">
        <v>307</v>
      </c>
      <c r="E20" s="119">
        <v>250</v>
      </c>
      <c r="F20" s="119">
        <f>SUM(E20*C20)</f>
        <v>2500</v>
      </c>
      <c r="G20" s="119">
        <v>50</v>
      </c>
      <c r="H20" s="119">
        <f>SUM(G20*C20)</f>
        <v>500</v>
      </c>
      <c r="I20" s="100">
        <f>SUM(H20+F20)</f>
        <v>3000</v>
      </c>
      <c r="J20" s="67"/>
      <c r="L20" s="182"/>
    </row>
    <row r="21" spans="1:12" s="70" customFormat="1">
      <c r="A21" s="114"/>
      <c r="B21" s="444" t="s">
        <v>308</v>
      </c>
      <c r="C21" s="88"/>
      <c r="D21" s="88"/>
      <c r="E21" s="119"/>
      <c r="F21" s="119"/>
      <c r="G21" s="119"/>
      <c r="H21" s="119"/>
      <c r="I21" s="100"/>
      <c r="J21" s="67"/>
      <c r="L21" s="182"/>
    </row>
    <row r="22" spans="1:12" s="70" customFormat="1">
      <c r="A22" s="114"/>
      <c r="B22" s="67" t="s">
        <v>309</v>
      </c>
      <c r="C22" s="91">
        <v>1</v>
      </c>
      <c r="D22" s="88" t="s">
        <v>103</v>
      </c>
      <c r="E22" s="119">
        <v>345</v>
      </c>
      <c r="F22" s="119">
        <f>SUM(E22*C22)</f>
        <v>345</v>
      </c>
      <c r="G22" s="119">
        <v>50</v>
      </c>
      <c r="H22" s="119">
        <f>SUM(G22*C22)</f>
        <v>50</v>
      </c>
      <c r="I22" s="100">
        <f>SUM(H22+F22)</f>
        <v>395</v>
      </c>
      <c r="J22" s="67"/>
      <c r="L22" s="182"/>
    </row>
    <row r="23" spans="1:12" s="70" customFormat="1">
      <c r="A23" s="114"/>
      <c r="B23" s="67"/>
      <c r="C23" s="91"/>
      <c r="D23" s="88"/>
      <c r="E23" s="119"/>
      <c r="F23" s="119"/>
      <c r="G23" s="119"/>
      <c r="H23" s="119"/>
      <c r="I23" s="100"/>
      <c r="J23" s="67"/>
      <c r="L23" s="182"/>
    </row>
    <row r="24" spans="1:12" s="70" customFormat="1">
      <c r="A24" s="114"/>
      <c r="B24" s="68"/>
      <c r="C24" s="419"/>
      <c r="D24" s="66"/>
      <c r="E24" s="73"/>
      <c r="F24" s="69"/>
      <c r="G24" s="69"/>
      <c r="H24" s="69"/>
      <c r="I24" s="116"/>
      <c r="J24" s="67"/>
      <c r="L24" s="182"/>
    </row>
    <row r="25" spans="1:12">
      <c r="A25" s="123"/>
      <c r="B25" s="66" t="s">
        <v>18</v>
      </c>
      <c r="C25" s="71"/>
      <c r="D25" s="66"/>
      <c r="E25" s="73"/>
      <c r="F25" s="115">
        <f>SUM(F9:F24)</f>
        <v>14084</v>
      </c>
      <c r="G25" s="436"/>
      <c r="H25" s="115">
        <f>SUM(H9:H24)</f>
        <v>10603</v>
      </c>
      <c r="I25" s="116"/>
      <c r="J25" s="67"/>
      <c r="K25" s="72">
        <f>+H25+F25</f>
        <v>24687</v>
      </c>
    </row>
    <row r="26" spans="1:12">
      <c r="A26" s="123"/>
      <c r="B26" s="114" t="s">
        <v>53</v>
      </c>
      <c r="C26" s="71"/>
      <c r="D26" s="66"/>
      <c r="E26" s="73"/>
      <c r="F26" s="69"/>
      <c r="G26" s="436"/>
      <c r="H26" s="437"/>
      <c r="I26" s="117">
        <f>SUM(I9:I24)</f>
        <v>24687</v>
      </c>
      <c r="J26" s="67"/>
      <c r="K26" s="72"/>
    </row>
    <row r="27" spans="1:12">
      <c r="A27" s="123"/>
      <c r="B27" s="129" t="s">
        <v>120</v>
      </c>
      <c r="C27" s="71"/>
      <c r="D27" s="66"/>
      <c r="E27" s="73"/>
      <c r="F27" s="69"/>
      <c r="G27" s="436"/>
      <c r="H27" s="437"/>
      <c r="I27" s="116"/>
      <c r="J27" s="67"/>
      <c r="K27" s="72"/>
    </row>
    <row r="28" spans="1:12">
      <c r="A28" s="94"/>
      <c r="B28" s="87" t="s">
        <v>310</v>
      </c>
      <c r="C28" s="419"/>
      <c r="D28" s="66"/>
      <c r="E28" s="73"/>
      <c r="F28" s="69"/>
      <c r="G28" s="445"/>
      <c r="H28" s="445"/>
      <c r="I28" s="116"/>
      <c r="J28" s="67"/>
    </row>
    <row r="29" spans="1:12">
      <c r="A29" s="94"/>
      <c r="B29" s="102" t="s">
        <v>311</v>
      </c>
      <c r="C29" s="67"/>
      <c r="D29" s="67"/>
      <c r="E29" s="67"/>
      <c r="F29" s="67"/>
      <c r="G29" s="67"/>
      <c r="H29" s="67"/>
      <c r="I29" s="67"/>
      <c r="J29" s="67"/>
    </row>
    <row r="30" spans="1:12">
      <c r="A30" s="94"/>
      <c r="B30" s="67" t="s">
        <v>312</v>
      </c>
      <c r="C30" s="88">
        <v>1</v>
      </c>
      <c r="D30" s="88" t="s">
        <v>103</v>
      </c>
      <c r="E30" s="113">
        <v>4425</v>
      </c>
      <c r="F30" s="113">
        <f t="shared" ref="F30:F35" si="0">SUM(E30*C30)</f>
        <v>4425</v>
      </c>
      <c r="G30" s="113">
        <v>300</v>
      </c>
      <c r="H30" s="113">
        <f>SUM(G30*C30)</f>
        <v>300</v>
      </c>
      <c r="I30" s="86">
        <f>SUM(H30+F30)</f>
        <v>4725</v>
      </c>
      <c r="J30" s="67"/>
    </row>
    <row r="31" spans="1:12">
      <c r="A31" s="94"/>
      <c r="B31" s="67" t="s">
        <v>313</v>
      </c>
      <c r="C31" s="88">
        <v>2</v>
      </c>
      <c r="D31" s="88" t="s">
        <v>103</v>
      </c>
      <c r="E31" s="113">
        <v>1205</v>
      </c>
      <c r="F31" s="113">
        <f t="shared" si="0"/>
        <v>2410</v>
      </c>
      <c r="G31" s="113">
        <v>300</v>
      </c>
      <c r="H31" s="113">
        <f>SUM(G31*C31)</f>
        <v>600</v>
      </c>
      <c r="I31" s="86">
        <f>SUM(H31+F31)</f>
        <v>3010</v>
      </c>
      <c r="J31" s="67"/>
    </row>
    <row r="32" spans="1:12">
      <c r="A32" s="94"/>
      <c r="B32" s="67" t="s">
        <v>314</v>
      </c>
      <c r="C32" s="88">
        <v>1</v>
      </c>
      <c r="D32" s="88" t="s">
        <v>103</v>
      </c>
      <c r="E32" s="113">
        <v>1445</v>
      </c>
      <c r="F32" s="113">
        <f t="shared" si="0"/>
        <v>1445</v>
      </c>
      <c r="G32" s="113">
        <v>300</v>
      </c>
      <c r="H32" s="113">
        <f>SUM(G32*C32)</f>
        <v>300</v>
      </c>
      <c r="I32" s="86">
        <f>SUM(H32+F32)</f>
        <v>1745</v>
      </c>
      <c r="J32" s="67"/>
    </row>
    <row r="33" spans="1:11">
      <c r="A33" s="94"/>
      <c r="B33" s="67" t="s">
        <v>315</v>
      </c>
      <c r="C33" s="88">
        <v>1</v>
      </c>
      <c r="D33" s="88" t="s">
        <v>103</v>
      </c>
      <c r="E33" s="113">
        <v>1985</v>
      </c>
      <c r="F33" s="113">
        <f t="shared" si="0"/>
        <v>1985</v>
      </c>
      <c r="G33" s="113">
        <v>300</v>
      </c>
      <c r="H33" s="113">
        <f>SUM(G33*C33)</f>
        <v>300</v>
      </c>
      <c r="I33" s="86">
        <f>SUM(H33+F33)</f>
        <v>2285</v>
      </c>
      <c r="J33" s="67"/>
    </row>
    <row r="34" spans="1:11">
      <c r="A34" s="94"/>
      <c r="B34" s="67" t="s">
        <v>316</v>
      </c>
      <c r="C34" s="88">
        <v>2</v>
      </c>
      <c r="D34" s="88" t="s">
        <v>139</v>
      </c>
      <c r="E34" s="113">
        <v>94.8</v>
      </c>
      <c r="F34" s="113">
        <f t="shared" si="0"/>
        <v>189.6</v>
      </c>
      <c r="G34" s="95" t="s">
        <v>95</v>
      </c>
      <c r="H34" s="95" t="s">
        <v>95</v>
      </c>
      <c r="I34" s="86">
        <f>SUM(F34)</f>
        <v>189.6</v>
      </c>
      <c r="J34" s="67"/>
    </row>
    <row r="35" spans="1:11">
      <c r="A35" s="94"/>
      <c r="B35" s="67" t="s">
        <v>317</v>
      </c>
      <c r="C35" s="88">
        <v>1</v>
      </c>
      <c r="D35" s="88" t="s">
        <v>19</v>
      </c>
      <c r="E35" s="113">
        <v>1500</v>
      </c>
      <c r="F35" s="113">
        <f t="shared" si="0"/>
        <v>1500</v>
      </c>
      <c r="G35" s="511" t="s">
        <v>133</v>
      </c>
      <c r="H35" s="512"/>
      <c r="I35" s="86">
        <f>SUM(H35+F35)</f>
        <v>1500</v>
      </c>
      <c r="J35" s="67"/>
    </row>
    <row r="36" spans="1:11">
      <c r="A36" s="94"/>
      <c r="B36" s="446" t="s">
        <v>318</v>
      </c>
      <c r="C36" s="67"/>
      <c r="D36" s="67"/>
      <c r="E36" s="67"/>
      <c r="F36" s="67"/>
      <c r="G36" s="67"/>
      <c r="H36" s="67"/>
      <c r="I36" s="67"/>
      <c r="J36" s="67"/>
    </row>
    <row r="37" spans="1:11">
      <c r="A37" s="94"/>
      <c r="B37" s="67" t="s">
        <v>319</v>
      </c>
      <c r="C37" s="88">
        <v>1</v>
      </c>
      <c r="D37" s="88" t="s">
        <v>103</v>
      </c>
      <c r="E37" s="113">
        <v>2705</v>
      </c>
      <c r="F37" s="113">
        <f>SUM(E37*C37)</f>
        <v>2705</v>
      </c>
      <c r="G37" s="95" t="s">
        <v>95</v>
      </c>
      <c r="H37" s="95" t="s">
        <v>95</v>
      </c>
      <c r="I37" s="86">
        <f>SUM(F37)</f>
        <v>2705</v>
      </c>
      <c r="J37" s="67"/>
    </row>
    <row r="38" spans="1:11">
      <c r="A38" s="94"/>
      <c r="B38" s="446" t="s">
        <v>320</v>
      </c>
      <c r="C38" s="67"/>
      <c r="D38" s="67"/>
      <c r="E38" s="67"/>
      <c r="F38" s="67"/>
      <c r="G38" s="67"/>
      <c r="H38" s="67"/>
      <c r="I38" s="67"/>
      <c r="J38" s="67"/>
    </row>
    <row r="39" spans="1:11">
      <c r="A39" s="94"/>
      <c r="B39" s="67" t="s">
        <v>300</v>
      </c>
      <c r="C39" s="88">
        <v>1</v>
      </c>
      <c r="D39" s="88" t="s">
        <v>103</v>
      </c>
      <c r="E39" s="113">
        <v>19000</v>
      </c>
      <c r="F39" s="113">
        <f>SUM(E39*C39)</f>
        <v>19000</v>
      </c>
      <c r="G39" s="95" t="s">
        <v>95</v>
      </c>
      <c r="H39" s="95" t="s">
        <v>95</v>
      </c>
      <c r="I39" s="86">
        <f>SUM(F39)</f>
        <v>19000</v>
      </c>
      <c r="J39" s="67"/>
    </row>
    <row r="40" spans="1:11">
      <c r="A40" s="94"/>
      <c r="B40" s="87" t="s">
        <v>321</v>
      </c>
      <c r="C40" s="67"/>
      <c r="D40" s="67"/>
      <c r="E40" s="67"/>
      <c r="F40" s="67"/>
      <c r="G40" s="103"/>
      <c r="H40" s="103"/>
      <c r="I40" s="103"/>
      <c r="J40" s="67"/>
    </row>
    <row r="41" spans="1:11">
      <c r="A41" s="94"/>
      <c r="B41" s="103" t="s">
        <v>322</v>
      </c>
      <c r="C41" s="91">
        <v>2</v>
      </c>
      <c r="D41" s="88" t="s">
        <v>103</v>
      </c>
      <c r="E41" s="119">
        <v>1205</v>
      </c>
      <c r="F41" s="119">
        <f>SUM(E41*C41)</f>
        <v>2410</v>
      </c>
      <c r="G41" s="119">
        <v>300</v>
      </c>
      <c r="H41" s="119">
        <f>SUM(G41*C41)</f>
        <v>600</v>
      </c>
      <c r="I41" s="100">
        <f>SUM(H41+F41)</f>
        <v>3010</v>
      </c>
      <c r="J41" s="67"/>
    </row>
    <row r="42" spans="1:11">
      <c r="A42" s="94"/>
      <c r="B42" s="67" t="s">
        <v>323</v>
      </c>
      <c r="C42" s="91">
        <v>1</v>
      </c>
      <c r="D42" s="88" t="s">
        <v>103</v>
      </c>
      <c r="E42" s="119">
        <v>1445</v>
      </c>
      <c r="F42" s="119">
        <f>SUM(E42*C42)</f>
        <v>1445</v>
      </c>
      <c r="G42" s="119">
        <v>300</v>
      </c>
      <c r="H42" s="119">
        <f>SUM(G42*C42)</f>
        <v>300</v>
      </c>
      <c r="I42" s="100">
        <f>SUM(H42+F42)</f>
        <v>1745</v>
      </c>
      <c r="J42" s="67"/>
    </row>
    <row r="43" spans="1:11">
      <c r="A43" s="94"/>
      <c r="B43" s="67"/>
      <c r="C43" s="91"/>
      <c r="D43" s="88"/>
      <c r="E43" s="119"/>
      <c r="F43" s="119"/>
      <c r="G43" s="119"/>
      <c r="H43" s="119"/>
      <c r="I43" s="100"/>
      <c r="J43" s="67"/>
    </row>
    <row r="44" spans="1:11">
      <c r="A44" s="94"/>
      <c r="B44" s="66" t="s">
        <v>18</v>
      </c>
      <c r="C44" s="71"/>
      <c r="D44" s="66"/>
      <c r="E44" s="73"/>
      <c r="F44" s="115">
        <f>SUM(F28:F43)</f>
        <v>37514.6</v>
      </c>
      <c r="G44" s="436"/>
      <c r="H44" s="115">
        <f>SUM(H28:H43)</f>
        <v>2400</v>
      </c>
      <c r="I44" s="116"/>
      <c r="J44" s="67"/>
      <c r="K44" s="130">
        <f>+H44+F44</f>
        <v>39914.6</v>
      </c>
    </row>
    <row r="45" spans="1:11">
      <c r="A45" s="94"/>
      <c r="B45" s="114" t="s">
        <v>53</v>
      </c>
      <c r="C45" s="71"/>
      <c r="D45" s="66"/>
      <c r="E45" s="73"/>
      <c r="F45" s="69"/>
      <c r="G45" s="436"/>
      <c r="H45" s="437"/>
      <c r="I45" s="117">
        <f>SUM(I28:I43)</f>
        <v>39914.6</v>
      </c>
      <c r="J45" s="67"/>
    </row>
    <row r="46" spans="1:11">
      <c r="A46" s="94"/>
      <c r="B46" s="129" t="s">
        <v>120</v>
      </c>
      <c r="C46" s="67"/>
      <c r="D46" s="67"/>
      <c r="E46" s="67"/>
      <c r="F46" s="67"/>
      <c r="G46" s="67"/>
      <c r="H46" s="67"/>
      <c r="I46" s="67"/>
      <c r="J46" s="67"/>
    </row>
    <row r="47" spans="1:11">
      <c r="A47" s="94"/>
      <c r="B47" s="133" t="s">
        <v>324</v>
      </c>
      <c r="C47" s="103"/>
      <c r="D47" s="103"/>
      <c r="E47" s="103"/>
      <c r="F47" s="103"/>
      <c r="G47" s="103"/>
      <c r="H47" s="103"/>
      <c r="I47" s="442"/>
      <c r="J47" s="67"/>
    </row>
    <row r="48" spans="1:11">
      <c r="A48" s="94"/>
      <c r="B48" s="447" t="s">
        <v>325</v>
      </c>
      <c r="C48" s="120">
        <v>1</v>
      </c>
      <c r="D48" s="120" t="s">
        <v>141</v>
      </c>
      <c r="E48" s="119">
        <v>38400</v>
      </c>
      <c r="F48" s="119">
        <f>SUM(E48*C48)</f>
        <v>38400</v>
      </c>
      <c r="G48" s="121" t="s">
        <v>95</v>
      </c>
      <c r="H48" s="121" t="s">
        <v>95</v>
      </c>
      <c r="I48" s="86">
        <f>SUM(F48)</f>
        <v>38400</v>
      </c>
      <c r="J48" s="67"/>
    </row>
    <row r="49" spans="1:12">
      <c r="A49" s="94"/>
      <c r="B49" s="447" t="s">
        <v>326</v>
      </c>
      <c r="C49" s="88"/>
      <c r="D49" s="88"/>
      <c r="E49" s="113"/>
      <c r="F49" s="113"/>
      <c r="G49" s="113"/>
      <c r="H49" s="113"/>
      <c r="I49" s="86"/>
      <c r="J49" s="67"/>
    </row>
    <row r="50" spans="1:12">
      <c r="A50" s="94"/>
      <c r="B50" s="103" t="s">
        <v>327</v>
      </c>
      <c r="C50" s="448">
        <v>1</v>
      </c>
      <c r="D50" s="120" t="s">
        <v>103</v>
      </c>
      <c r="E50" s="119">
        <v>1205</v>
      </c>
      <c r="F50" s="119">
        <f t="shared" ref="F50:F57" si="1">SUM(E50*C50)</f>
        <v>1205</v>
      </c>
      <c r="G50" s="119">
        <v>300</v>
      </c>
      <c r="H50" s="119">
        <f>SUM(G50*C50)</f>
        <v>300</v>
      </c>
      <c r="I50" s="100">
        <f t="shared" ref="I50:I57" si="2">SUM(H50+F50)</f>
        <v>1505</v>
      </c>
      <c r="J50" s="67"/>
      <c r="K50" s="130">
        <f>SUM(I48:I54)</f>
        <v>77625</v>
      </c>
      <c r="L50" s="449">
        <f>SUM(H50:H54)</f>
        <v>5000</v>
      </c>
    </row>
    <row r="51" spans="1:12">
      <c r="A51" s="94"/>
      <c r="B51" s="103" t="s">
        <v>328</v>
      </c>
      <c r="C51" s="448">
        <v>2</v>
      </c>
      <c r="D51" s="120" t="s">
        <v>103</v>
      </c>
      <c r="E51" s="119">
        <v>1915</v>
      </c>
      <c r="F51" s="119">
        <f t="shared" si="1"/>
        <v>3830</v>
      </c>
      <c r="G51" s="119">
        <v>400</v>
      </c>
      <c r="H51" s="119">
        <f>SUM(G51*C51)</f>
        <v>800</v>
      </c>
      <c r="I51" s="100">
        <f t="shared" si="2"/>
        <v>4630</v>
      </c>
      <c r="J51" s="67"/>
    </row>
    <row r="52" spans="1:12">
      <c r="A52" s="94"/>
      <c r="B52" s="103" t="s">
        <v>329</v>
      </c>
      <c r="C52" s="448">
        <v>5</v>
      </c>
      <c r="D52" s="120" t="s">
        <v>103</v>
      </c>
      <c r="E52" s="119">
        <v>4350</v>
      </c>
      <c r="F52" s="119">
        <f t="shared" si="1"/>
        <v>21750</v>
      </c>
      <c r="G52" s="119">
        <v>500</v>
      </c>
      <c r="H52" s="119">
        <f>SUM(G52*C52)</f>
        <v>2500</v>
      </c>
      <c r="I52" s="100">
        <f t="shared" si="2"/>
        <v>24250</v>
      </c>
      <c r="J52" s="67"/>
    </row>
    <row r="53" spans="1:12">
      <c r="A53" s="94"/>
      <c r="B53" s="103" t="s">
        <v>323</v>
      </c>
      <c r="C53" s="448">
        <v>2</v>
      </c>
      <c r="D53" s="120" t="s">
        <v>103</v>
      </c>
      <c r="E53" s="119">
        <v>1445</v>
      </c>
      <c r="F53" s="119">
        <f t="shared" si="1"/>
        <v>2890</v>
      </c>
      <c r="G53" s="119">
        <v>300</v>
      </c>
      <c r="H53" s="119">
        <f>SUM(G53*C53)</f>
        <v>600</v>
      </c>
      <c r="I53" s="100">
        <f t="shared" si="2"/>
        <v>3490</v>
      </c>
      <c r="J53" s="67"/>
    </row>
    <row r="54" spans="1:12">
      <c r="A54" s="94"/>
      <c r="B54" s="103" t="s">
        <v>330</v>
      </c>
      <c r="C54" s="448">
        <v>2</v>
      </c>
      <c r="D54" s="120" t="s">
        <v>103</v>
      </c>
      <c r="E54" s="119">
        <v>2275</v>
      </c>
      <c r="F54" s="119">
        <f t="shared" si="1"/>
        <v>4550</v>
      </c>
      <c r="G54" s="119">
        <v>400</v>
      </c>
      <c r="H54" s="119">
        <f>SUM(G54*C54)</f>
        <v>800</v>
      </c>
      <c r="I54" s="100">
        <f t="shared" si="2"/>
        <v>5350</v>
      </c>
      <c r="J54" s="67"/>
    </row>
    <row r="55" spans="1:12">
      <c r="A55" s="94"/>
      <c r="B55" s="103" t="s">
        <v>331</v>
      </c>
      <c r="C55" s="448">
        <v>1</v>
      </c>
      <c r="D55" s="120" t="s">
        <v>19</v>
      </c>
      <c r="E55" s="119">
        <v>3500</v>
      </c>
      <c r="F55" s="119">
        <f t="shared" si="1"/>
        <v>3500</v>
      </c>
      <c r="G55" s="513" t="s">
        <v>133</v>
      </c>
      <c r="H55" s="514"/>
      <c r="I55" s="100">
        <f t="shared" si="2"/>
        <v>3500</v>
      </c>
      <c r="J55" s="67"/>
    </row>
    <row r="56" spans="1:12">
      <c r="A56" s="94"/>
      <c r="B56" s="103" t="s">
        <v>332</v>
      </c>
      <c r="C56" s="448">
        <v>1</v>
      </c>
      <c r="D56" s="120" t="s">
        <v>19</v>
      </c>
      <c r="E56" s="119">
        <v>1500</v>
      </c>
      <c r="F56" s="119">
        <f t="shared" si="1"/>
        <v>1500</v>
      </c>
      <c r="G56" s="513" t="s">
        <v>133</v>
      </c>
      <c r="H56" s="514"/>
      <c r="I56" s="100">
        <f t="shared" si="2"/>
        <v>1500</v>
      </c>
      <c r="J56" s="67"/>
    </row>
    <row r="57" spans="1:12">
      <c r="A57" s="94"/>
      <c r="B57" s="67" t="s">
        <v>333</v>
      </c>
      <c r="C57" s="120">
        <v>1</v>
      </c>
      <c r="D57" s="120" t="s">
        <v>19</v>
      </c>
      <c r="E57" s="119">
        <v>37640</v>
      </c>
      <c r="F57" s="119">
        <f t="shared" si="1"/>
        <v>37640</v>
      </c>
      <c r="G57" s="511" t="s">
        <v>133</v>
      </c>
      <c r="H57" s="512"/>
      <c r="I57" s="86">
        <f t="shared" si="2"/>
        <v>37640</v>
      </c>
      <c r="J57" s="67"/>
    </row>
    <row r="58" spans="1:12">
      <c r="A58" s="94"/>
      <c r="B58" s="133" t="s">
        <v>334</v>
      </c>
      <c r="C58" s="67"/>
      <c r="D58" s="67"/>
      <c r="E58" s="67"/>
      <c r="F58" s="67"/>
      <c r="G58" s="67"/>
      <c r="H58" s="67"/>
      <c r="I58" s="67"/>
      <c r="J58" s="67"/>
    </row>
    <row r="59" spans="1:12">
      <c r="A59" s="94"/>
      <c r="B59" s="67" t="s">
        <v>335</v>
      </c>
      <c r="C59" s="448">
        <v>3</v>
      </c>
      <c r="D59" s="120" t="s">
        <v>141</v>
      </c>
      <c r="E59" s="119">
        <v>2000</v>
      </c>
      <c r="F59" s="119">
        <f>SUM(E59*C59)</f>
        <v>6000</v>
      </c>
      <c r="G59" s="119">
        <v>200</v>
      </c>
      <c r="H59" s="119">
        <f>SUM(G59*C59)</f>
        <v>600</v>
      </c>
      <c r="I59" s="100">
        <f>SUM(H59+F59)</f>
        <v>6600</v>
      </c>
      <c r="J59" s="67"/>
    </row>
    <row r="60" spans="1:12">
      <c r="A60" s="94"/>
      <c r="B60" s="67" t="s">
        <v>336</v>
      </c>
      <c r="C60" s="67"/>
      <c r="D60" s="67"/>
      <c r="E60" s="67"/>
      <c r="F60" s="67"/>
      <c r="G60" s="67"/>
      <c r="H60" s="67"/>
      <c r="I60" s="67"/>
      <c r="J60" s="67"/>
    </row>
    <row r="61" spans="1:12">
      <c r="A61" s="94"/>
      <c r="B61" s="67"/>
      <c r="C61" s="67"/>
      <c r="D61" s="67"/>
      <c r="E61" s="67"/>
      <c r="F61" s="67"/>
      <c r="G61" s="67"/>
      <c r="H61" s="67"/>
      <c r="I61" s="67"/>
      <c r="J61" s="67"/>
    </row>
    <row r="62" spans="1:12">
      <c r="A62" s="94"/>
      <c r="B62" s="67"/>
      <c r="C62" s="67"/>
      <c r="D62" s="67"/>
      <c r="E62" s="67"/>
      <c r="F62" s="67"/>
      <c r="G62" s="67"/>
      <c r="H62" s="67"/>
      <c r="I62" s="67"/>
      <c r="J62" s="67"/>
    </row>
    <row r="63" spans="1:12">
      <c r="A63" s="94"/>
      <c r="B63" s="66" t="s">
        <v>18</v>
      </c>
      <c r="C63" s="71"/>
      <c r="D63" s="66"/>
      <c r="E63" s="73"/>
      <c r="F63" s="115">
        <f>SUM(F47:F62)</f>
        <v>121265</v>
      </c>
      <c r="G63" s="436"/>
      <c r="H63" s="115">
        <f>SUM(H47:H62)</f>
        <v>5600</v>
      </c>
      <c r="I63" s="116"/>
      <c r="J63" s="67"/>
      <c r="K63" s="130">
        <f>+H63+F63</f>
        <v>126865</v>
      </c>
    </row>
    <row r="64" spans="1:12">
      <c r="A64" s="94"/>
      <c r="B64" s="114" t="s">
        <v>53</v>
      </c>
      <c r="C64" s="71"/>
      <c r="D64" s="66"/>
      <c r="E64" s="73"/>
      <c r="F64" s="69"/>
      <c r="G64" s="436"/>
      <c r="H64" s="437"/>
      <c r="I64" s="117">
        <f>SUM(I47:I62)</f>
        <v>126865</v>
      </c>
      <c r="J64" s="67"/>
    </row>
    <row r="65" spans="1:11">
      <c r="A65" s="94"/>
      <c r="B65" s="129" t="s">
        <v>337</v>
      </c>
      <c r="C65" s="67"/>
      <c r="D65" s="67"/>
      <c r="E65" s="67"/>
      <c r="F65" s="67"/>
      <c r="G65" s="67"/>
      <c r="H65" s="67"/>
      <c r="I65" s="67"/>
      <c r="J65" s="67"/>
    </row>
    <row r="66" spans="1:11">
      <c r="A66" s="94"/>
      <c r="B66" s="102" t="s">
        <v>338</v>
      </c>
      <c r="C66" s="67"/>
      <c r="D66" s="67"/>
      <c r="E66" s="67"/>
      <c r="F66" s="67"/>
      <c r="G66" s="67"/>
      <c r="H66" s="67"/>
      <c r="I66" s="67"/>
      <c r="J66" s="67"/>
    </row>
    <row r="67" spans="1:11">
      <c r="A67" s="94"/>
      <c r="B67" s="450" t="s">
        <v>339</v>
      </c>
      <c r="C67" s="67"/>
      <c r="D67" s="67"/>
      <c r="E67" s="67"/>
      <c r="F67" s="67"/>
      <c r="G67" s="67"/>
      <c r="H67" s="67"/>
      <c r="I67" s="67"/>
      <c r="J67" s="67"/>
    </row>
    <row r="68" spans="1:11">
      <c r="A68" s="94"/>
      <c r="B68" s="67" t="s">
        <v>340</v>
      </c>
      <c r="C68" s="189">
        <v>7</v>
      </c>
      <c r="D68" s="88" t="s">
        <v>260</v>
      </c>
      <c r="E68" s="113">
        <v>39</v>
      </c>
      <c r="F68" s="113">
        <f>SUM(E68*C68)</f>
        <v>273</v>
      </c>
      <c r="G68" s="113">
        <v>40</v>
      </c>
      <c r="H68" s="113">
        <f>SUM(G68*C68)</f>
        <v>280</v>
      </c>
      <c r="I68" s="86">
        <f>SUM(H68+F68)</f>
        <v>553</v>
      </c>
      <c r="J68" s="67"/>
    </row>
    <row r="69" spans="1:11">
      <c r="A69" s="94"/>
      <c r="B69" s="67" t="s">
        <v>341</v>
      </c>
      <c r="C69" s="189">
        <v>9</v>
      </c>
      <c r="D69" s="88" t="s">
        <v>260</v>
      </c>
      <c r="E69" s="113">
        <v>85</v>
      </c>
      <c r="F69" s="113">
        <f>SUM(E69*C69)</f>
        <v>765</v>
      </c>
      <c r="G69" s="113">
        <v>75</v>
      </c>
      <c r="H69" s="113">
        <f>SUM(G69*C69)</f>
        <v>675</v>
      </c>
      <c r="I69" s="86">
        <f>SUM(H69+F69)</f>
        <v>1440</v>
      </c>
      <c r="J69" s="67"/>
    </row>
    <row r="70" spans="1:11">
      <c r="A70" s="94"/>
      <c r="B70" s="67" t="s">
        <v>342</v>
      </c>
      <c r="C70" s="189">
        <v>20</v>
      </c>
      <c r="D70" s="88" t="s">
        <v>104</v>
      </c>
      <c r="E70" s="113">
        <v>138</v>
      </c>
      <c r="F70" s="113">
        <f>SUM(E70*C70)</f>
        <v>2760</v>
      </c>
      <c r="G70" s="113">
        <v>100</v>
      </c>
      <c r="H70" s="113">
        <f>SUM(G70*C70)</f>
        <v>2000</v>
      </c>
      <c r="I70" s="86">
        <f>SUM(H70+F70)</f>
        <v>4760</v>
      </c>
      <c r="J70" s="67"/>
    </row>
    <row r="71" spans="1:11">
      <c r="A71" s="94"/>
      <c r="B71" s="67" t="s">
        <v>343</v>
      </c>
      <c r="C71" s="189">
        <v>7</v>
      </c>
      <c r="D71" s="88" t="s">
        <v>104</v>
      </c>
      <c r="E71" s="113">
        <v>291</v>
      </c>
      <c r="F71" s="113">
        <f>SUM(E71*C71)</f>
        <v>2037</v>
      </c>
      <c r="G71" s="113">
        <v>200</v>
      </c>
      <c r="H71" s="113">
        <f>SUM(G71*C71)</f>
        <v>1400</v>
      </c>
      <c r="I71" s="86">
        <f>SUM(H71+F71)</f>
        <v>3437</v>
      </c>
      <c r="J71" s="67"/>
      <c r="K71" s="130">
        <f>SUM(F68:F71)</f>
        <v>5835</v>
      </c>
    </row>
    <row r="72" spans="1:11">
      <c r="A72" s="94"/>
      <c r="B72" s="87" t="s">
        <v>344</v>
      </c>
      <c r="C72" s="88"/>
      <c r="D72" s="88"/>
      <c r="E72" s="113"/>
      <c r="F72" s="113"/>
      <c r="G72" s="113"/>
      <c r="H72" s="113"/>
      <c r="I72" s="86"/>
      <c r="J72" s="67"/>
    </row>
    <row r="73" spans="1:11">
      <c r="A73" s="94"/>
      <c r="B73" s="67" t="s">
        <v>341</v>
      </c>
      <c r="C73" s="189">
        <v>1</v>
      </c>
      <c r="D73" s="88" t="s">
        <v>307</v>
      </c>
      <c r="E73" s="113">
        <v>540</v>
      </c>
      <c r="F73" s="113">
        <f>SUM(E73*C73)</f>
        <v>540</v>
      </c>
      <c r="G73" s="121" t="s">
        <v>95</v>
      </c>
      <c r="H73" s="121" t="s">
        <v>95</v>
      </c>
      <c r="I73" s="86">
        <f>SUM(F73)</f>
        <v>540</v>
      </c>
      <c r="J73" s="67"/>
    </row>
    <row r="74" spans="1:11">
      <c r="A74" s="94"/>
      <c r="B74" s="67" t="s">
        <v>345</v>
      </c>
      <c r="C74" s="88">
        <v>1</v>
      </c>
      <c r="D74" s="88" t="s">
        <v>307</v>
      </c>
      <c r="E74" s="113">
        <v>780</v>
      </c>
      <c r="F74" s="113">
        <f>SUM(C74*E74)</f>
        <v>780</v>
      </c>
      <c r="G74" s="121" t="s">
        <v>95</v>
      </c>
      <c r="H74" s="121" t="s">
        <v>95</v>
      </c>
      <c r="I74" s="86">
        <f>SUM(F74)</f>
        <v>780</v>
      </c>
      <c r="J74" s="67"/>
    </row>
    <row r="75" spans="1:11">
      <c r="A75" s="94"/>
      <c r="B75" s="67" t="s">
        <v>343</v>
      </c>
      <c r="C75" s="189">
        <v>1</v>
      </c>
      <c r="D75" s="88" t="s">
        <v>307</v>
      </c>
      <c r="E75" s="113">
        <v>1500</v>
      </c>
      <c r="F75" s="113">
        <f>SUM(E75*C75)</f>
        <v>1500</v>
      </c>
      <c r="G75" s="121" t="s">
        <v>95</v>
      </c>
      <c r="H75" s="121" t="s">
        <v>95</v>
      </c>
      <c r="I75" s="86">
        <f>SUM(F75)</f>
        <v>1500</v>
      </c>
      <c r="J75" s="67"/>
    </row>
    <row r="76" spans="1:11">
      <c r="A76" s="94"/>
      <c r="B76" s="102" t="s">
        <v>346</v>
      </c>
      <c r="C76" s="71"/>
      <c r="D76" s="66"/>
      <c r="E76" s="188"/>
      <c r="F76" s="188"/>
      <c r="G76" s="113"/>
      <c r="H76" s="113"/>
      <c r="I76" s="86"/>
      <c r="J76" s="67"/>
    </row>
    <row r="77" spans="1:11">
      <c r="A77" s="94"/>
      <c r="B77" s="67" t="s">
        <v>343</v>
      </c>
      <c r="C77" s="88">
        <v>1</v>
      </c>
      <c r="D77" s="88" t="s">
        <v>103</v>
      </c>
      <c r="E77" s="113">
        <v>1360</v>
      </c>
      <c r="F77" s="113">
        <f>SUM(E77*C77)</f>
        <v>1360</v>
      </c>
      <c r="G77" s="113">
        <v>300</v>
      </c>
      <c r="H77" s="113">
        <f>SUM(G77*C77)</f>
        <v>300</v>
      </c>
      <c r="I77" s="86">
        <f>SUM(H77+F77)</f>
        <v>1660</v>
      </c>
      <c r="J77" s="67"/>
    </row>
    <row r="78" spans="1:11">
      <c r="A78" s="94"/>
      <c r="B78" s="133" t="s">
        <v>347</v>
      </c>
      <c r="C78" s="103"/>
      <c r="D78" s="103"/>
      <c r="E78" s="103"/>
      <c r="F78" s="103"/>
      <c r="G78" s="103"/>
      <c r="H78" s="103"/>
      <c r="I78" s="103"/>
      <c r="J78" s="67"/>
    </row>
    <row r="79" spans="1:11">
      <c r="A79" s="94"/>
      <c r="B79" s="103" t="s">
        <v>348</v>
      </c>
      <c r="C79" s="448">
        <v>1</v>
      </c>
      <c r="D79" s="120" t="s">
        <v>141</v>
      </c>
      <c r="E79" s="119">
        <v>341330</v>
      </c>
      <c r="F79" s="119">
        <f>SUM(C79*E79)</f>
        <v>341330</v>
      </c>
      <c r="G79" s="188" t="s">
        <v>95</v>
      </c>
      <c r="H79" s="188" t="s">
        <v>95</v>
      </c>
      <c r="I79" s="100">
        <f>SUM(F79)</f>
        <v>341330</v>
      </c>
      <c r="J79" s="67"/>
      <c r="K79" s="64" t="s">
        <v>349</v>
      </c>
    </row>
    <row r="80" spans="1:11">
      <c r="A80" s="94"/>
      <c r="B80" s="103" t="s">
        <v>350</v>
      </c>
      <c r="C80" s="448">
        <v>1</v>
      </c>
      <c r="D80" s="120" t="s">
        <v>351</v>
      </c>
      <c r="E80" s="119">
        <v>33860</v>
      </c>
      <c r="F80" s="119">
        <f>SUM(E80*C80)</f>
        <v>33860</v>
      </c>
      <c r="G80" s="511" t="s">
        <v>133</v>
      </c>
      <c r="H80" s="512"/>
      <c r="I80" s="86">
        <f>SUM(H80+F80)</f>
        <v>33860</v>
      </c>
      <c r="J80" s="67"/>
    </row>
    <row r="81" spans="1:11">
      <c r="A81" s="94"/>
      <c r="B81" s="67"/>
      <c r="C81" s="67"/>
      <c r="D81" s="67"/>
      <c r="E81" s="67"/>
      <c r="F81" s="67"/>
      <c r="G81" s="67"/>
      <c r="H81" s="67"/>
      <c r="I81" s="67"/>
      <c r="J81" s="67"/>
    </row>
    <row r="82" spans="1:11">
      <c r="A82" s="94"/>
      <c r="B82" s="66" t="s">
        <v>18</v>
      </c>
      <c r="C82" s="71"/>
      <c r="D82" s="66"/>
      <c r="E82" s="73"/>
      <c r="F82" s="115">
        <f>SUM(F66:F81)</f>
        <v>385205</v>
      </c>
      <c r="G82" s="436"/>
      <c r="H82" s="115">
        <f>SUM(H66:H81)</f>
        <v>4655</v>
      </c>
      <c r="I82" s="116"/>
      <c r="J82" s="67"/>
      <c r="K82" s="130">
        <f>+H82+F82</f>
        <v>389860</v>
      </c>
    </row>
    <row r="83" spans="1:11">
      <c r="A83" s="94"/>
      <c r="B83" s="114" t="s">
        <v>53</v>
      </c>
      <c r="C83" s="71"/>
      <c r="D83" s="66"/>
      <c r="E83" s="73"/>
      <c r="F83" s="69"/>
      <c r="G83" s="436"/>
      <c r="H83" s="437"/>
      <c r="I83" s="117">
        <f>SUM(I66:I81)</f>
        <v>389860</v>
      </c>
      <c r="J83" s="67"/>
    </row>
    <row r="84" spans="1:11">
      <c r="A84" s="94"/>
      <c r="B84" s="129" t="s">
        <v>337</v>
      </c>
      <c r="C84" s="67"/>
      <c r="D84" s="67"/>
      <c r="E84" s="67"/>
      <c r="F84" s="67"/>
      <c r="G84" s="67"/>
      <c r="H84" s="67"/>
      <c r="I84" s="67"/>
      <c r="J84" s="67"/>
    </row>
    <row r="85" spans="1:11">
      <c r="A85" s="94"/>
      <c r="B85" s="102" t="s">
        <v>352</v>
      </c>
      <c r="C85" s="103"/>
      <c r="D85" s="103"/>
      <c r="E85" s="103"/>
      <c r="F85" s="103"/>
      <c r="G85" s="103"/>
      <c r="H85" s="103"/>
      <c r="I85" s="103"/>
      <c r="J85" s="67"/>
    </row>
    <row r="86" spans="1:11">
      <c r="A86" s="94"/>
      <c r="B86" s="102" t="s">
        <v>353</v>
      </c>
      <c r="C86" s="448"/>
      <c r="D86" s="120"/>
      <c r="E86" s="119"/>
      <c r="F86" s="119"/>
      <c r="G86" s="188"/>
      <c r="H86" s="188"/>
      <c r="I86" s="100"/>
      <c r="J86" s="67"/>
    </row>
    <row r="87" spans="1:11">
      <c r="A87" s="94"/>
      <c r="B87" s="67" t="s">
        <v>300</v>
      </c>
      <c r="C87" s="189">
        <v>26</v>
      </c>
      <c r="D87" s="88" t="s">
        <v>260</v>
      </c>
      <c r="E87" s="113">
        <v>25</v>
      </c>
      <c r="F87" s="113">
        <f>SUM(E87*C87)</f>
        <v>650</v>
      </c>
      <c r="G87" s="113">
        <v>30</v>
      </c>
      <c r="H87" s="113">
        <f>SUM(G87*C87)</f>
        <v>780</v>
      </c>
      <c r="I87" s="86">
        <f>SUM(H87+F87)</f>
        <v>1430</v>
      </c>
      <c r="J87" s="67"/>
    </row>
    <row r="88" spans="1:11">
      <c r="A88" s="94"/>
      <c r="B88" s="67" t="s">
        <v>340</v>
      </c>
      <c r="C88" s="189">
        <v>55</v>
      </c>
      <c r="D88" s="88" t="s">
        <v>260</v>
      </c>
      <c r="E88" s="113">
        <v>39</v>
      </c>
      <c r="F88" s="113">
        <f>SUM(E88*C88)</f>
        <v>2145</v>
      </c>
      <c r="G88" s="113">
        <v>40</v>
      </c>
      <c r="H88" s="113">
        <f>SUM(G88*C88)</f>
        <v>2200</v>
      </c>
      <c r="I88" s="86">
        <f>SUM(H88+F88)</f>
        <v>4345</v>
      </c>
      <c r="J88" s="67"/>
    </row>
    <row r="89" spans="1:11">
      <c r="A89" s="94"/>
      <c r="B89" s="67" t="s">
        <v>354</v>
      </c>
      <c r="C89" s="88">
        <v>27</v>
      </c>
      <c r="D89" s="88" t="s">
        <v>260</v>
      </c>
      <c r="E89" s="113">
        <v>61</v>
      </c>
      <c r="F89" s="113">
        <f>SUM(E89*C89)</f>
        <v>1647</v>
      </c>
      <c r="G89" s="113">
        <v>50</v>
      </c>
      <c r="H89" s="113">
        <f>SUM(G89*C89)</f>
        <v>1350</v>
      </c>
      <c r="I89" s="86">
        <f>SUM(H89+F89)</f>
        <v>2997</v>
      </c>
      <c r="J89" s="67"/>
      <c r="K89" s="130">
        <f>SUM(F87:F89)</f>
        <v>4442</v>
      </c>
    </row>
    <row r="90" spans="1:11">
      <c r="A90" s="94"/>
      <c r="B90" s="87" t="s">
        <v>344</v>
      </c>
      <c r="C90" s="67"/>
      <c r="D90" s="67"/>
      <c r="E90" s="67"/>
      <c r="F90" s="67"/>
      <c r="G90" s="67"/>
      <c r="H90" s="67"/>
      <c r="I90" s="67"/>
      <c r="J90" s="67"/>
    </row>
    <row r="91" spans="1:11">
      <c r="A91" s="94"/>
      <c r="B91" s="67" t="s">
        <v>340</v>
      </c>
      <c r="C91" s="88">
        <v>3</v>
      </c>
      <c r="D91" s="88" t="s">
        <v>307</v>
      </c>
      <c r="E91" s="113">
        <v>380</v>
      </c>
      <c r="F91" s="113">
        <f>SUM(C91*E91)</f>
        <v>1140</v>
      </c>
      <c r="G91" s="121" t="s">
        <v>95</v>
      </c>
      <c r="H91" s="121" t="s">
        <v>95</v>
      </c>
      <c r="I91" s="86">
        <f>SUM(F91)</f>
        <v>1140</v>
      </c>
      <c r="J91" s="67"/>
    </row>
    <row r="92" spans="1:11">
      <c r="A92" s="94"/>
      <c r="B92" s="67" t="s">
        <v>354</v>
      </c>
      <c r="C92" s="88">
        <v>2</v>
      </c>
      <c r="D92" s="88" t="s">
        <v>307</v>
      </c>
      <c r="E92" s="113">
        <v>480</v>
      </c>
      <c r="F92" s="113">
        <f>SUM(C92*E92)</f>
        <v>960</v>
      </c>
      <c r="G92" s="121" t="s">
        <v>95</v>
      </c>
      <c r="H92" s="121" t="s">
        <v>95</v>
      </c>
      <c r="I92" s="86">
        <f>SUM(F92)</f>
        <v>960</v>
      </c>
      <c r="J92" s="67"/>
    </row>
    <row r="93" spans="1:11">
      <c r="A93" s="94"/>
      <c r="B93" s="87" t="s">
        <v>355</v>
      </c>
      <c r="C93" s="88"/>
      <c r="D93" s="88"/>
      <c r="E93" s="113"/>
      <c r="F93" s="113"/>
      <c r="G93" s="121"/>
      <c r="H93" s="121"/>
      <c r="I93" s="86"/>
      <c r="J93" s="67"/>
    </row>
    <row r="94" spans="1:11">
      <c r="A94" s="94"/>
      <c r="B94" s="67" t="s">
        <v>340</v>
      </c>
      <c r="C94" s="91">
        <v>5</v>
      </c>
      <c r="D94" s="88" t="s">
        <v>307</v>
      </c>
      <c r="E94" s="113">
        <v>455</v>
      </c>
      <c r="F94" s="113">
        <f>SUM(C94*E94)</f>
        <v>2275</v>
      </c>
      <c r="G94" s="121" t="s">
        <v>95</v>
      </c>
      <c r="H94" s="121" t="s">
        <v>95</v>
      </c>
      <c r="I94" s="86">
        <f>SUM(F94)</f>
        <v>2275</v>
      </c>
      <c r="J94" s="67"/>
    </row>
    <row r="95" spans="1:11">
      <c r="A95" s="94"/>
      <c r="B95" s="67" t="s">
        <v>354</v>
      </c>
      <c r="C95" s="91">
        <v>2</v>
      </c>
      <c r="D95" s="88" t="s">
        <v>307</v>
      </c>
      <c r="E95" s="113">
        <v>520</v>
      </c>
      <c r="F95" s="113">
        <f>SUM(C95*E95)</f>
        <v>1040</v>
      </c>
      <c r="G95" s="121" t="s">
        <v>95</v>
      </c>
      <c r="H95" s="121" t="s">
        <v>95</v>
      </c>
      <c r="I95" s="86">
        <f>SUM(F95)</f>
        <v>1040</v>
      </c>
      <c r="J95" s="67"/>
    </row>
    <row r="96" spans="1:11">
      <c r="A96" s="94"/>
      <c r="B96" s="87" t="s">
        <v>356</v>
      </c>
      <c r="C96" s="67"/>
      <c r="D96" s="67"/>
      <c r="E96" s="67"/>
      <c r="F96" s="67"/>
      <c r="G96" s="67"/>
      <c r="H96" s="67"/>
      <c r="I96" s="67"/>
      <c r="J96" s="67"/>
    </row>
    <row r="97" spans="1:11">
      <c r="A97" s="94"/>
      <c r="B97" s="67" t="s">
        <v>300</v>
      </c>
      <c r="C97" s="91">
        <v>5</v>
      </c>
      <c r="D97" s="88" t="s">
        <v>307</v>
      </c>
      <c r="E97" s="113">
        <v>160</v>
      </c>
      <c r="F97" s="113">
        <f>SUM(C97*E97)</f>
        <v>800</v>
      </c>
      <c r="G97" s="121" t="s">
        <v>95</v>
      </c>
      <c r="H97" s="121" t="s">
        <v>95</v>
      </c>
      <c r="I97" s="86">
        <f>SUM(F97)</f>
        <v>800</v>
      </c>
      <c r="J97" s="67"/>
    </row>
    <row r="98" spans="1:11">
      <c r="A98" s="94"/>
      <c r="B98" s="67" t="s">
        <v>340</v>
      </c>
      <c r="C98" s="91">
        <v>2</v>
      </c>
      <c r="D98" s="88" t="s">
        <v>307</v>
      </c>
      <c r="E98" s="113">
        <v>222</v>
      </c>
      <c r="F98" s="113">
        <f>SUM(C98*E98)</f>
        <v>444</v>
      </c>
      <c r="G98" s="121" t="s">
        <v>95</v>
      </c>
      <c r="H98" s="121" t="s">
        <v>95</v>
      </c>
      <c r="I98" s="86">
        <f>SUM(F98)</f>
        <v>444</v>
      </c>
      <c r="J98" s="67"/>
    </row>
    <row r="99" spans="1:11">
      <c r="A99" s="94"/>
      <c r="B99" s="67"/>
      <c r="C99" s="91"/>
      <c r="D99" s="88"/>
      <c r="E99" s="113"/>
      <c r="F99" s="113"/>
      <c r="G99" s="121"/>
      <c r="H99" s="121"/>
      <c r="I99" s="86"/>
      <c r="J99" s="67"/>
    </row>
    <row r="100" spans="1:11">
      <c r="A100" s="94"/>
      <c r="B100" s="67"/>
      <c r="C100" s="91"/>
      <c r="D100" s="88"/>
      <c r="E100" s="113"/>
      <c r="F100" s="113"/>
      <c r="G100" s="121"/>
      <c r="H100" s="121"/>
      <c r="I100" s="86"/>
      <c r="J100" s="67"/>
    </row>
    <row r="101" spans="1:11">
      <c r="A101" s="94"/>
      <c r="B101" s="66" t="s">
        <v>18</v>
      </c>
      <c r="C101" s="71"/>
      <c r="D101" s="66"/>
      <c r="E101" s="73"/>
      <c r="F101" s="115">
        <f>SUM(F85:F100)</f>
        <v>11101</v>
      </c>
      <c r="G101" s="436"/>
      <c r="H101" s="115">
        <f>SUM(H85:H100)</f>
        <v>4330</v>
      </c>
      <c r="I101" s="116"/>
      <c r="J101" s="67"/>
      <c r="K101" s="130">
        <f>+H101+F101</f>
        <v>15431</v>
      </c>
    </row>
    <row r="102" spans="1:11">
      <c r="A102" s="94"/>
      <c r="B102" s="114" t="s">
        <v>53</v>
      </c>
      <c r="C102" s="71"/>
      <c r="D102" s="66"/>
      <c r="E102" s="73"/>
      <c r="F102" s="69"/>
      <c r="G102" s="436"/>
      <c r="H102" s="437"/>
      <c r="I102" s="117">
        <f>SUM(I85:I100)</f>
        <v>15431</v>
      </c>
      <c r="J102" s="67"/>
    </row>
    <row r="103" spans="1:11">
      <c r="A103" s="94"/>
      <c r="B103" s="129" t="s">
        <v>337</v>
      </c>
      <c r="C103" s="67"/>
      <c r="D103" s="67"/>
      <c r="E103" s="67"/>
      <c r="F103" s="67"/>
      <c r="G103" s="67"/>
      <c r="H103" s="67"/>
      <c r="I103" s="67"/>
      <c r="J103" s="67"/>
    </row>
    <row r="104" spans="1:11">
      <c r="A104" s="94"/>
      <c r="B104" s="133" t="s">
        <v>357</v>
      </c>
      <c r="C104" s="103"/>
      <c r="D104" s="103"/>
      <c r="E104" s="103"/>
      <c r="F104" s="103"/>
      <c r="G104" s="103"/>
      <c r="H104" s="103"/>
      <c r="I104" s="103"/>
      <c r="J104" s="67"/>
    </row>
    <row r="105" spans="1:11">
      <c r="A105" s="94"/>
      <c r="B105" s="103" t="s">
        <v>358</v>
      </c>
      <c r="C105" s="448">
        <v>2</v>
      </c>
      <c r="D105" s="120" t="s">
        <v>141</v>
      </c>
      <c r="E105" s="119">
        <v>35000</v>
      </c>
      <c r="F105" s="119">
        <f>SUM(C105*E105)</f>
        <v>70000</v>
      </c>
      <c r="G105" s="513" t="s">
        <v>133</v>
      </c>
      <c r="H105" s="514"/>
      <c r="I105" s="100">
        <f>SUM(H105+F80)</f>
        <v>33860</v>
      </c>
      <c r="J105" s="67"/>
    </row>
    <row r="106" spans="1:11">
      <c r="A106" s="94"/>
      <c r="B106" s="133" t="s">
        <v>359</v>
      </c>
      <c r="C106" s="103"/>
      <c r="D106" s="103"/>
      <c r="E106" s="103"/>
      <c r="F106" s="103"/>
      <c r="G106" s="103"/>
      <c r="H106" s="103"/>
      <c r="I106" s="103"/>
      <c r="J106" s="67"/>
    </row>
    <row r="107" spans="1:11">
      <c r="A107" s="94"/>
      <c r="B107" s="103" t="s">
        <v>360</v>
      </c>
      <c r="C107" s="448">
        <v>2</v>
      </c>
      <c r="D107" s="120" t="s">
        <v>141</v>
      </c>
      <c r="E107" s="119">
        <v>25000</v>
      </c>
      <c r="F107" s="119">
        <f>SUM(C107*E107)</f>
        <v>50000</v>
      </c>
      <c r="G107" s="513" t="s">
        <v>133</v>
      </c>
      <c r="H107" s="514"/>
      <c r="I107" s="100">
        <f>SUM(F107)</f>
        <v>50000</v>
      </c>
      <c r="J107" s="67"/>
    </row>
    <row r="108" spans="1:11">
      <c r="A108" s="94"/>
      <c r="B108" s="102" t="s">
        <v>361</v>
      </c>
      <c r="C108" s="103"/>
      <c r="D108" s="103"/>
      <c r="E108" s="103"/>
      <c r="F108" s="103"/>
      <c r="G108" s="103"/>
      <c r="H108" s="103"/>
      <c r="I108" s="103"/>
      <c r="J108" s="67"/>
    </row>
    <row r="109" spans="1:11">
      <c r="A109" s="94"/>
      <c r="B109" s="102" t="s">
        <v>353</v>
      </c>
      <c r="C109" s="448"/>
      <c r="D109" s="120"/>
      <c r="E109" s="119"/>
      <c r="F109" s="119"/>
      <c r="G109" s="188"/>
      <c r="H109" s="188"/>
      <c r="I109" s="100"/>
      <c r="J109" s="67"/>
    </row>
    <row r="110" spans="1:11">
      <c r="A110" s="94"/>
      <c r="B110" s="67" t="s">
        <v>300</v>
      </c>
      <c r="C110" s="189">
        <v>62</v>
      </c>
      <c r="D110" s="88" t="s">
        <v>260</v>
      </c>
      <c r="E110" s="113">
        <v>25</v>
      </c>
      <c r="F110" s="113">
        <f>SUM(E110*C110)</f>
        <v>1550</v>
      </c>
      <c r="G110" s="113">
        <v>30</v>
      </c>
      <c r="H110" s="113">
        <f t="shared" ref="H110:H115" si="3">SUM(G110*C110)</f>
        <v>1860</v>
      </c>
      <c r="I110" s="86">
        <f>SUM(H110+F110)</f>
        <v>3410</v>
      </c>
      <c r="J110" s="67"/>
    </row>
    <row r="111" spans="1:11">
      <c r="A111" s="94"/>
      <c r="B111" s="67" t="s">
        <v>340</v>
      </c>
      <c r="C111" s="189">
        <v>42</v>
      </c>
      <c r="D111" s="88" t="s">
        <v>260</v>
      </c>
      <c r="E111" s="113">
        <v>39</v>
      </c>
      <c r="F111" s="113">
        <f>SUM(E111*C111)</f>
        <v>1638</v>
      </c>
      <c r="G111" s="113">
        <v>40</v>
      </c>
      <c r="H111" s="113">
        <f t="shared" si="3"/>
        <v>1680</v>
      </c>
      <c r="I111" s="86">
        <f>SUM(H111+F111)</f>
        <v>3318</v>
      </c>
      <c r="J111" s="67"/>
      <c r="K111" s="130">
        <f>SUM(F110:F111)</f>
        <v>3188</v>
      </c>
    </row>
    <row r="112" spans="1:11">
      <c r="A112" s="94"/>
      <c r="B112" s="68" t="s">
        <v>304</v>
      </c>
      <c r="C112" s="88">
        <v>1</v>
      </c>
      <c r="D112" s="88" t="s">
        <v>19</v>
      </c>
      <c r="E112" s="113">
        <v>4040</v>
      </c>
      <c r="F112" s="113">
        <f>SUM(E112*C112)</f>
        <v>4040</v>
      </c>
      <c r="G112" s="113">
        <v>1212</v>
      </c>
      <c r="H112" s="113">
        <f t="shared" si="3"/>
        <v>1212</v>
      </c>
      <c r="I112" s="86">
        <f>SUM(H112+F112)</f>
        <v>5252</v>
      </c>
      <c r="J112" s="67"/>
      <c r="K112" s="130">
        <f>SUM(K71+K89+K111)</f>
        <v>13465</v>
      </c>
    </row>
    <row r="113" spans="1:12">
      <c r="A113" s="94"/>
      <c r="B113" s="68" t="s">
        <v>305</v>
      </c>
      <c r="C113" s="88">
        <v>1</v>
      </c>
      <c r="D113" s="88" t="s">
        <v>19</v>
      </c>
      <c r="E113" s="113">
        <v>1347</v>
      </c>
      <c r="F113" s="113">
        <f>SUM(E113*C113)</f>
        <v>1347</v>
      </c>
      <c r="G113" s="113">
        <v>404</v>
      </c>
      <c r="H113" s="113">
        <f t="shared" si="3"/>
        <v>404</v>
      </c>
      <c r="I113" s="86">
        <f>SUM(H113+F113)</f>
        <v>1751</v>
      </c>
      <c r="J113" s="67"/>
      <c r="K113" s="130">
        <f>SUM(K112*30%)</f>
        <v>4039.5</v>
      </c>
      <c r="L113" s="169">
        <f>SUM(K113*30%)</f>
        <v>1211.8499999999999</v>
      </c>
    </row>
    <row r="114" spans="1:12">
      <c r="A114" s="94"/>
      <c r="B114" s="447" t="s">
        <v>362</v>
      </c>
      <c r="C114" s="88">
        <v>96</v>
      </c>
      <c r="D114" s="88" t="s">
        <v>94</v>
      </c>
      <c r="E114" s="121" t="s">
        <v>95</v>
      </c>
      <c r="F114" s="121" t="s">
        <v>95</v>
      </c>
      <c r="G114" s="113">
        <v>99</v>
      </c>
      <c r="H114" s="113">
        <f t="shared" si="3"/>
        <v>9504</v>
      </c>
      <c r="I114" s="86">
        <f>SUM(H114)</f>
        <v>9504</v>
      </c>
      <c r="J114" s="67"/>
      <c r="K114" s="64">
        <f>SUM(K112*10%)</f>
        <v>1346.5</v>
      </c>
      <c r="L114" s="169">
        <f>SUM(K114*30%)</f>
        <v>403.95</v>
      </c>
    </row>
    <row r="115" spans="1:12">
      <c r="A115" s="94"/>
      <c r="B115" s="447" t="s">
        <v>363</v>
      </c>
      <c r="C115" s="88">
        <v>24</v>
      </c>
      <c r="D115" s="88" t="s">
        <v>94</v>
      </c>
      <c r="E115" s="113">
        <v>537</v>
      </c>
      <c r="F115" s="113">
        <f>SUM(E115*C115)</f>
        <v>12888</v>
      </c>
      <c r="G115" s="113">
        <v>91</v>
      </c>
      <c r="H115" s="113">
        <f t="shared" si="3"/>
        <v>2184</v>
      </c>
      <c r="I115" s="86">
        <f>SUM(F115+H115)</f>
        <v>15072</v>
      </c>
      <c r="J115" s="67"/>
    </row>
    <row r="116" spans="1:12">
      <c r="A116" s="94"/>
      <c r="B116" s="67"/>
      <c r="C116" s="67"/>
      <c r="D116" s="67"/>
      <c r="E116" s="67"/>
      <c r="F116" s="67"/>
      <c r="G116" s="67"/>
      <c r="H116" s="67"/>
      <c r="I116" s="67"/>
      <c r="J116" s="67"/>
      <c r="K116" s="451">
        <f>SUM(C15:C16)</f>
        <v>88</v>
      </c>
    </row>
    <row r="117" spans="1:12">
      <c r="A117" s="94"/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2">
      <c r="A118" s="94"/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2">
      <c r="A119" s="94"/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2">
      <c r="A120" s="94"/>
      <c r="B120" s="66" t="s">
        <v>18</v>
      </c>
      <c r="C120" s="71"/>
      <c r="D120" s="66"/>
      <c r="E120" s="73"/>
      <c r="F120" s="115">
        <f>SUM(F104:F119)</f>
        <v>141463</v>
      </c>
      <c r="G120" s="436"/>
      <c r="H120" s="115">
        <f>SUM(H104:H119)</f>
        <v>16844</v>
      </c>
      <c r="I120" s="116"/>
      <c r="J120" s="67"/>
      <c r="K120" s="130">
        <f>+H120+F120</f>
        <v>158307</v>
      </c>
    </row>
    <row r="121" spans="1:12">
      <c r="A121" s="94"/>
      <c r="B121" s="114" t="s">
        <v>53</v>
      </c>
      <c r="C121" s="71"/>
      <c r="D121" s="66"/>
      <c r="E121" s="73"/>
      <c r="F121" s="69"/>
      <c r="G121" s="436"/>
      <c r="H121" s="437"/>
      <c r="I121" s="117">
        <f>SUM(I104:I119)</f>
        <v>122167</v>
      </c>
      <c r="J121" s="67"/>
      <c r="K121" s="422">
        <f>SUM(I26+I45+I64+I83+I102+I121)</f>
        <v>718924.6</v>
      </c>
      <c r="L121" s="174" t="s">
        <v>364</v>
      </c>
    </row>
  </sheetData>
  <mergeCells count="15">
    <mergeCell ref="G80:H80"/>
    <mergeCell ref="G105:H105"/>
    <mergeCell ref="G107:H107"/>
    <mergeCell ref="A1:J1"/>
    <mergeCell ref="E6:F6"/>
    <mergeCell ref="G6:H6"/>
    <mergeCell ref="A6:A7"/>
    <mergeCell ref="B6:B7"/>
    <mergeCell ref="C6:C7"/>
    <mergeCell ref="D6:D7"/>
    <mergeCell ref="J6:J7"/>
    <mergeCell ref="G35:H35"/>
    <mergeCell ref="G55:H55"/>
    <mergeCell ref="G56:H56"/>
    <mergeCell ref="G57:H5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7" header="0.11811023622047245" footer="0.2"/>
  <pageSetup paperSize="9" orientation="landscape" horizontalDpi="1200" verticalDpi="1200" r:id="rId1"/>
  <headerFooter>
    <oddHeader>&amp;Rแบบ ปร. 4 แผ่นที่ 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45"/>
  <sheetViews>
    <sheetView view="pageBreakPreview" topLeftCell="A23" zoomScale="115" zoomScaleSheetLayoutView="115" workbookViewId="0">
      <selection sqref="A1:J45"/>
    </sheetView>
  </sheetViews>
  <sheetFormatPr defaultRowHeight="18"/>
  <cols>
    <col min="1" max="1" width="10.7109375" style="18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4" s="169" customForma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  <c r="L1" s="169">
        <v>304000</v>
      </c>
    </row>
    <row r="2" spans="1:14" s="174" customForma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4" s="169" customForma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">
        <v>412</v>
      </c>
      <c r="H3" s="172"/>
      <c r="I3" s="172"/>
      <c r="J3" s="171"/>
    </row>
    <row r="4" spans="1:14" s="174" customForma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4" s="174" customFormat="1" ht="18.75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4" ht="18.75" thickTop="1">
      <c r="A6" s="507" t="s">
        <v>61</v>
      </c>
      <c r="B6" s="507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4" ht="18.75" thickBot="1">
      <c r="A7" s="508"/>
      <c r="B7" s="508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4" s="70" customFormat="1" ht="18.75" thickTop="1">
      <c r="A8" s="114"/>
      <c r="B8" s="411" t="s">
        <v>122</v>
      </c>
      <c r="C8" s="71"/>
      <c r="D8" s="66"/>
      <c r="E8" s="69"/>
      <c r="F8" s="69"/>
      <c r="G8" s="69"/>
      <c r="H8" s="69"/>
      <c r="I8" s="112"/>
      <c r="J8" s="67"/>
      <c r="K8" s="64"/>
      <c r="L8" s="182"/>
    </row>
    <row r="9" spans="1:14" s="70" customFormat="1">
      <c r="A9" s="114"/>
      <c r="B9" s="412" t="s">
        <v>240</v>
      </c>
      <c r="C9" s="413">
        <v>3036</v>
      </c>
      <c r="D9" s="88" t="s">
        <v>97</v>
      </c>
      <c r="E9" s="414">
        <v>0</v>
      </c>
      <c r="F9" s="414">
        <f t="shared" ref="F9:F15" si="0">+E9*C9</f>
        <v>0</v>
      </c>
      <c r="G9" s="113">
        <v>10</v>
      </c>
      <c r="H9" s="113">
        <f>+G9*C9</f>
        <v>30360</v>
      </c>
      <c r="I9" s="86">
        <f>+H9+F9</f>
        <v>30360</v>
      </c>
      <c r="J9" s="67"/>
      <c r="L9" s="183"/>
      <c r="M9" s="184"/>
      <c r="N9" s="184"/>
    </row>
    <row r="10" spans="1:14" s="70" customFormat="1">
      <c r="A10" s="114"/>
      <c r="B10" s="412" t="s">
        <v>234</v>
      </c>
      <c r="C10" s="118">
        <v>4038</v>
      </c>
      <c r="D10" s="88" t="s">
        <v>94</v>
      </c>
      <c r="E10" s="113">
        <v>250</v>
      </c>
      <c r="F10" s="113">
        <f t="shared" si="0"/>
        <v>1009500</v>
      </c>
      <c r="G10" s="113">
        <v>99</v>
      </c>
      <c r="H10" s="113">
        <f t="shared" ref="H10:H13" si="1">+G10*C10</f>
        <v>399762</v>
      </c>
      <c r="I10" s="86">
        <f t="shared" ref="I10:I13" si="2">+H10+F10</f>
        <v>1409262</v>
      </c>
      <c r="J10" s="67"/>
      <c r="K10" s="185" t="s">
        <v>239</v>
      </c>
      <c r="L10" s="183"/>
      <c r="M10" s="184"/>
      <c r="N10" s="184"/>
    </row>
    <row r="11" spans="1:14" s="70" customFormat="1">
      <c r="A11" s="114"/>
      <c r="B11" s="412" t="s">
        <v>237</v>
      </c>
      <c r="C11" s="118">
        <v>12</v>
      </c>
      <c r="D11" s="88" t="s">
        <v>238</v>
      </c>
      <c r="E11" s="113">
        <v>500</v>
      </c>
      <c r="F11" s="113">
        <f>+E11*C11</f>
        <v>6000</v>
      </c>
      <c r="G11" s="511" t="s">
        <v>106</v>
      </c>
      <c r="H11" s="512"/>
      <c r="I11" s="86">
        <f>+H11+F11</f>
        <v>6000</v>
      </c>
      <c r="J11" s="67"/>
      <c r="K11" s="185"/>
      <c r="L11" s="183"/>
      <c r="M11" s="184"/>
      <c r="N11" s="184"/>
    </row>
    <row r="12" spans="1:14" s="70" customFormat="1">
      <c r="A12" s="114"/>
      <c r="B12" s="412" t="s">
        <v>132</v>
      </c>
      <c r="C12" s="118">
        <v>3808</v>
      </c>
      <c r="D12" s="88" t="s">
        <v>97</v>
      </c>
      <c r="E12" s="414">
        <v>0</v>
      </c>
      <c r="F12" s="414">
        <f t="shared" si="0"/>
        <v>0</v>
      </c>
      <c r="G12" s="113">
        <v>20</v>
      </c>
      <c r="H12" s="113">
        <f t="shared" si="1"/>
        <v>76160</v>
      </c>
      <c r="I12" s="86">
        <f t="shared" si="2"/>
        <v>76160</v>
      </c>
      <c r="J12" s="67"/>
      <c r="K12" s="185">
        <f>242+302</f>
        <v>544</v>
      </c>
      <c r="L12" s="183">
        <f>+K12*7</f>
        <v>3808</v>
      </c>
      <c r="M12" s="184">
        <f>1/0.15</f>
        <v>6.666666666666667</v>
      </c>
      <c r="N12" s="184"/>
    </row>
    <row r="13" spans="1:14" s="70" customFormat="1">
      <c r="A13" s="114"/>
      <c r="B13" s="412" t="s">
        <v>125</v>
      </c>
      <c r="C13" s="88">
        <v>59</v>
      </c>
      <c r="D13" s="88" t="s">
        <v>94</v>
      </c>
      <c r="E13" s="113">
        <v>230</v>
      </c>
      <c r="F13" s="113">
        <f t="shared" ref="F13:F14" si="3">+E13*C13</f>
        <v>13570</v>
      </c>
      <c r="G13" s="113">
        <v>99</v>
      </c>
      <c r="H13" s="113">
        <f t="shared" si="1"/>
        <v>5841</v>
      </c>
      <c r="I13" s="86">
        <f t="shared" si="2"/>
        <v>19411</v>
      </c>
      <c r="J13" s="67"/>
      <c r="K13" s="185"/>
      <c r="L13" s="183"/>
      <c r="M13" s="184"/>
      <c r="N13" s="184"/>
    </row>
    <row r="14" spans="1:14" s="70" customFormat="1">
      <c r="A14" s="114"/>
      <c r="B14" s="412" t="s">
        <v>126</v>
      </c>
      <c r="C14" s="118">
        <v>242</v>
      </c>
      <c r="D14" s="88" t="s">
        <v>97</v>
      </c>
      <c r="E14" s="414">
        <v>0</v>
      </c>
      <c r="F14" s="414">
        <f t="shared" si="3"/>
        <v>0</v>
      </c>
      <c r="G14" s="113">
        <v>20</v>
      </c>
      <c r="H14" s="113">
        <f t="shared" ref="H14" si="4">+G14*C14</f>
        <v>4840</v>
      </c>
      <c r="I14" s="86">
        <f t="shared" ref="I14" si="5">+H14+F14</f>
        <v>4840</v>
      </c>
      <c r="J14" s="67"/>
      <c r="K14" s="185"/>
      <c r="L14" s="183"/>
      <c r="M14" s="184"/>
      <c r="N14" s="184"/>
    </row>
    <row r="15" spans="1:14" s="70" customFormat="1">
      <c r="A15" s="114"/>
      <c r="B15" s="412" t="s">
        <v>127</v>
      </c>
      <c r="C15" s="88">
        <v>34</v>
      </c>
      <c r="D15" s="88" t="s">
        <v>94</v>
      </c>
      <c r="E15" s="113">
        <v>538</v>
      </c>
      <c r="F15" s="113">
        <f t="shared" si="0"/>
        <v>18292</v>
      </c>
      <c r="G15" s="113">
        <v>99</v>
      </c>
      <c r="H15" s="113">
        <f t="shared" ref="H15" si="6">+G15*C15</f>
        <v>3366</v>
      </c>
      <c r="I15" s="86">
        <f t="shared" ref="I15" si="7">+H15+F15</f>
        <v>21658</v>
      </c>
      <c r="J15" s="67"/>
      <c r="K15" s="185"/>
      <c r="L15" s="183"/>
      <c r="M15" s="184"/>
      <c r="N15" s="184"/>
    </row>
    <row r="16" spans="1:14" s="70" customFormat="1">
      <c r="A16" s="114"/>
      <c r="B16" s="107" t="s">
        <v>119</v>
      </c>
      <c r="C16" s="415">
        <v>39</v>
      </c>
      <c r="D16" s="104" t="s">
        <v>94</v>
      </c>
      <c r="E16" s="83">
        <v>2141</v>
      </c>
      <c r="F16" s="92">
        <f t="shared" ref="F16:F19" si="8">+E16*C16</f>
        <v>83499</v>
      </c>
      <c r="G16" s="92">
        <v>306</v>
      </c>
      <c r="H16" s="92">
        <f t="shared" ref="H16" si="9">+G16*C16</f>
        <v>11934</v>
      </c>
      <c r="I16" s="191">
        <f t="shared" ref="I16" si="10">+H16+F16</f>
        <v>95433</v>
      </c>
      <c r="J16" s="67"/>
      <c r="K16" s="185"/>
      <c r="L16" s="416"/>
      <c r="M16" s="184"/>
      <c r="N16" s="184"/>
    </row>
    <row r="17" spans="1:14" s="70" customFormat="1">
      <c r="A17" s="114"/>
      <c r="B17" s="412" t="s">
        <v>128</v>
      </c>
      <c r="C17" s="118">
        <v>242</v>
      </c>
      <c r="D17" s="88" t="s">
        <v>97</v>
      </c>
      <c r="E17" s="113">
        <v>47</v>
      </c>
      <c r="F17" s="92">
        <f t="shared" si="8"/>
        <v>11374</v>
      </c>
      <c r="G17" s="92">
        <v>5</v>
      </c>
      <c r="H17" s="113">
        <f t="shared" ref="H17" si="11">+G17*C17</f>
        <v>1210</v>
      </c>
      <c r="I17" s="86">
        <f t="shared" ref="I17:I20" si="12">+H17+F17</f>
        <v>12584</v>
      </c>
      <c r="J17" s="67"/>
      <c r="K17" s="185"/>
      <c r="L17" s="182"/>
    </row>
    <row r="18" spans="1:14" s="70" customFormat="1">
      <c r="A18" s="114"/>
      <c r="B18" s="417" t="s">
        <v>129</v>
      </c>
      <c r="C18" s="71">
        <v>96</v>
      </c>
      <c r="D18" s="66" t="s">
        <v>97</v>
      </c>
      <c r="E18" s="69">
        <v>70</v>
      </c>
      <c r="F18" s="92">
        <f t="shared" si="8"/>
        <v>6720</v>
      </c>
      <c r="G18" s="515" t="s">
        <v>106</v>
      </c>
      <c r="H18" s="516"/>
      <c r="I18" s="86">
        <f t="shared" si="12"/>
        <v>6720</v>
      </c>
      <c r="J18" s="67"/>
      <c r="L18" s="182"/>
    </row>
    <row r="19" spans="1:14" s="70" customFormat="1">
      <c r="A19" s="114"/>
      <c r="B19" s="412" t="s">
        <v>235</v>
      </c>
      <c r="C19" s="71">
        <v>135</v>
      </c>
      <c r="D19" s="88" t="s">
        <v>130</v>
      </c>
      <c r="E19" s="113">
        <v>25</v>
      </c>
      <c r="F19" s="92">
        <f t="shared" si="8"/>
        <v>3375</v>
      </c>
      <c r="G19" s="515" t="s">
        <v>106</v>
      </c>
      <c r="H19" s="516"/>
      <c r="I19" s="86">
        <f t="shared" si="12"/>
        <v>3375</v>
      </c>
      <c r="J19" s="67"/>
      <c r="K19" s="185"/>
      <c r="L19" s="182"/>
    </row>
    <row r="20" spans="1:14" s="374" customFormat="1" ht="20.100000000000001" customHeight="1">
      <c r="A20" s="68"/>
      <c r="B20" s="68" t="s">
        <v>418</v>
      </c>
      <c r="C20" s="91">
        <v>80</v>
      </c>
      <c r="D20" s="66" t="s">
        <v>104</v>
      </c>
      <c r="E20" s="83">
        <v>35</v>
      </c>
      <c r="F20" s="92">
        <f>SUM(C20*E20)</f>
        <v>2800</v>
      </c>
      <c r="G20" s="515" t="s">
        <v>106</v>
      </c>
      <c r="H20" s="516"/>
      <c r="I20" s="86">
        <f t="shared" si="12"/>
        <v>2800</v>
      </c>
      <c r="J20" s="68"/>
    </row>
    <row r="21" spans="1:14" s="70" customFormat="1">
      <c r="A21" s="114"/>
      <c r="B21" s="67"/>
      <c r="C21" s="88"/>
      <c r="D21" s="88"/>
      <c r="E21" s="83"/>
      <c r="F21" s="92"/>
      <c r="G21" s="515"/>
      <c r="H21" s="516"/>
      <c r="I21" s="86"/>
      <c r="J21" s="67"/>
      <c r="K21" s="185"/>
      <c r="L21" s="182"/>
    </row>
    <row r="22" spans="1:14" s="70" customFormat="1">
      <c r="A22" s="114"/>
      <c r="B22" s="67"/>
      <c r="C22" s="88"/>
      <c r="D22" s="88"/>
      <c r="E22" s="83"/>
      <c r="F22" s="92"/>
      <c r="G22" s="436"/>
      <c r="H22" s="437"/>
      <c r="I22" s="86"/>
      <c r="J22" s="67"/>
      <c r="K22" s="185"/>
      <c r="L22" s="182"/>
    </row>
    <row r="23" spans="1:14" s="70" customFormat="1">
      <c r="A23" s="114"/>
      <c r="B23" s="12"/>
      <c r="C23" s="118"/>
      <c r="D23" s="88"/>
      <c r="E23" s="119"/>
      <c r="F23" s="119"/>
      <c r="G23" s="188"/>
      <c r="H23" s="113"/>
      <c r="I23" s="86"/>
      <c r="J23" s="67"/>
      <c r="L23" s="182"/>
    </row>
    <row r="24" spans="1:14" s="70" customFormat="1">
      <c r="A24" s="114"/>
      <c r="B24" s="12"/>
      <c r="C24" s="118"/>
      <c r="D24" s="88"/>
      <c r="E24" s="119"/>
      <c r="F24" s="119"/>
      <c r="G24" s="188"/>
      <c r="H24" s="188"/>
      <c r="I24" s="125"/>
      <c r="J24" s="67"/>
      <c r="L24" s="182"/>
    </row>
    <row r="25" spans="1:14" s="70" customFormat="1">
      <c r="A25" s="114"/>
      <c r="B25" s="66" t="s">
        <v>18</v>
      </c>
      <c r="C25" s="71"/>
      <c r="D25" s="66"/>
      <c r="E25" s="73"/>
      <c r="F25" s="193">
        <f>SUM(F9:F24)</f>
        <v>1155130</v>
      </c>
      <c r="G25" s="436"/>
      <c r="H25" s="193">
        <f>SUM(H9:H24)</f>
        <v>533473</v>
      </c>
      <c r="I25" s="116"/>
      <c r="J25" s="67"/>
      <c r="K25" s="185">
        <f>+H25+F25</f>
        <v>1688603</v>
      </c>
      <c r="L25" s="186"/>
    </row>
    <row r="26" spans="1:14" s="70" customFormat="1">
      <c r="A26" s="114"/>
      <c r="B26" s="114" t="s">
        <v>53</v>
      </c>
      <c r="C26" s="71"/>
      <c r="D26" s="66"/>
      <c r="E26" s="73"/>
      <c r="F26" s="69"/>
      <c r="G26" s="436"/>
      <c r="H26" s="127"/>
      <c r="I26" s="194">
        <f>SUM(I9:I25)</f>
        <v>1688603</v>
      </c>
      <c r="J26" s="67"/>
      <c r="L26" s="182"/>
    </row>
    <row r="27" spans="1:14" s="70" customFormat="1">
      <c r="A27" s="114"/>
      <c r="B27" s="411" t="s">
        <v>121</v>
      </c>
      <c r="C27" s="71"/>
      <c r="D27" s="66"/>
      <c r="E27" s="69"/>
      <c r="F27" s="69"/>
      <c r="G27" s="69"/>
      <c r="H27" s="69"/>
      <c r="I27" s="112"/>
      <c r="J27" s="67"/>
      <c r="K27" s="64"/>
      <c r="L27" s="182"/>
    </row>
    <row r="28" spans="1:14" s="70" customFormat="1">
      <c r="A28" s="114"/>
      <c r="B28" s="417" t="s">
        <v>123</v>
      </c>
      <c r="C28" s="189">
        <v>960</v>
      </c>
      <c r="D28" s="88" t="s">
        <v>97</v>
      </c>
      <c r="E28" s="113">
        <v>60</v>
      </c>
      <c r="F28" s="113">
        <f>+E28*C28</f>
        <v>57600</v>
      </c>
      <c r="G28" s="511" t="s">
        <v>106</v>
      </c>
      <c r="H28" s="512"/>
      <c r="I28" s="93">
        <f>+H28+F28</f>
        <v>57600</v>
      </c>
      <c r="J28" s="67"/>
      <c r="K28" s="185"/>
      <c r="L28" s="183"/>
      <c r="M28" s="184"/>
      <c r="N28" s="184"/>
    </row>
    <row r="29" spans="1:14">
      <c r="A29" s="114"/>
      <c r="B29" s="67" t="s">
        <v>124</v>
      </c>
      <c r="C29" s="118">
        <v>125</v>
      </c>
      <c r="D29" s="88" t="s">
        <v>104</v>
      </c>
      <c r="E29" s="113">
        <v>250</v>
      </c>
      <c r="F29" s="113">
        <f>+E29*C29</f>
        <v>31250</v>
      </c>
      <c r="G29" s="511" t="s">
        <v>106</v>
      </c>
      <c r="H29" s="512"/>
      <c r="I29" s="93">
        <f>+H29+F29</f>
        <v>31250</v>
      </c>
      <c r="J29" s="67"/>
    </row>
    <row r="30" spans="1:14">
      <c r="A30" s="114"/>
      <c r="B30" s="67" t="s">
        <v>131</v>
      </c>
      <c r="C30" s="362">
        <v>242</v>
      </c>
      <c r="D30" s="88" t="s">
        <v>97</v>
      </c>
      <c r="E30" s="414">
        <v>0</v>
      </c>
      <c r="F30" s="414">
        <f>+E30*C30</f>
        <v>0</v>
      </c>
      <c r="G30" s="119">
        <v>61</v>
      </c>
      <c r="H30" s="119">
        <f>+G30*C30</f>
        <v>14762</v>
      </c>
      <c r="I30" s="93">
        <f>+H30+F30</f>
        <v>14762</v>
      </c>
      <c r="J30" s="67"/>
    </row>
    <row r="31" spans="1:14" s="70" customFormat="1">
      <c r="A31" s="114"/>
      <c r="B31" s="412"/>
      <c r="C31" s="88"/>
      <c r="D31" s="88"/>
      <c r="E31" s="113"/>
      <c r="F31" s="113"/>
      <c r="G31" s="113"/>
      <c r="H31" s="113"/>
      <c r="I31" s="86"/>
      <c r="J31" s="67"/>
      <c r="K31" s="185"/>
      <c r="L31" s="183"/>
      <c r="M31" s="184"/>
      <c r="N31" s="184"/>
    </row>
    <row r="32" spans="1:14" s="70" customFormat="1">
      <c r="A32" s="114"/>
      <c r="B32" s="107"/>
      <c r="C32" s="415"/>
      <c r="D32" s="104"/>
      <c r="E32" s="83"/>
      <c r="F32" s="92"/>
      <c r="G32" s="92"/>
      <c r="H32" s="92"/>
      <c r="I32" s="191"/>
      <c r="J32" s="67"/>
      <c r="K32" s="185"/>
      <c r="L32" s="416"/>
      <c r="M32" s="184"/>
      <c r="N32" s="184"/>
    </row>
    <row r="33" spans="1:12" s="70" customFormat="1">
      <c r="A33" s="114"/>
      <c r="B33" s="412"/>
      <c r="C33" s="118"/>
      <c r="D33" s="88"/>
      <c r="E33" s="113"/>
      <c r="F33" s="92"/>
      <c r="G33" s="92"/>
      <c r="H33" s="113"/>
      <c r="I33" s="86"/>
      <c r="J33" s="67"/>
      <c r="K33" s="185"/>
      <c r="L33" s="182"/>
    </row>
    <row r="34" spans="1:12" s="70" customFormat="1">
      <c r="A34" s="114"/>
      <c r="B34" s="412"/>
      <c r="C34" s="118"/>
      <c r="D34" s="88"/>
      <c r="E34" s="113"/>
      <c r="F34" s="92"/>
      <c r="G34" s="92"/>
      <c r="H34" s="113"/>
      <c r="I34" s="86"/>
      <c r="J34" s="67"/>
      <c r="K34" s="185"/>
      <c r="L34" s="182"/>
    </row>
    <row r="35" spans="1:12">
      <c r="A35" s="114"/>
      <c r="B35" s="68"/>
      <c r="C35" s="88"/>
      <c r="D35" s="88"/>
      <c r="E35" s="121"/>
      <c r="F35" s="121"/>
      <c r="G35" s="113"/>
      <c r="H35" s="113"/>
      <c r="I35" s="86"/>
      <c r="J35" s="67"/>
    </row>
    <row r="36" spans="1:12">
      <c r="A36" s="114"/>
      <c r="B36" s="68"/>
      <c r="C36" s="88"/>
      <c r="D36" s="88"/>
      <c r="E36" s="121"/>
      <c r="F36" s="121"/>
      <c r="G36" s="113"/>
      <c r="H36" s="113"/>
      <c r="I36" s="86"/>
      <c r="J36" s="67"/>
    </row>
    <row r="37" spans="1:12">
      <c r="A37" s="114"/>
      <c r="B37" s="67"/>
      <c r="C37" s="88"/>
      <c r="D37" s="88"/>
      <c r="E37" s="113"/>
      <c r="F37" s="113"/>
      <c r="G37" s="113"/>
      <c r="H37" s="113"/>
      <c r="I37" s="86"/>
      <c r="J37" s="67"/>
    </row>
    <row r="38" spans="1:12">
      <c r="A38" s="114"/>
      <c r="B38" s="67"/>
      <c r="C38" s="88"/>
      <c r="D38" s="88"/>
      <c r="E38" s="113"/>
      <c r="F38" s="113"/>
      <c r="G38" s="113"/>
      <c r="H38" s="113"/>
      <c r="I38" s="93"/>
      <c r="J38" s="67"/>
    </row>
    <row r="39" spans="1:12">
      <c r="A39" s="114"/>
      <c r="B39" s="12"/>
      <c r="C39" s="418"/>
      <c r="D39" s="88"/>
      <c r="E39" s="113"/>
      <c r="F39" s="113"/>
      <c r="G39" s="113"/>
      <c r="H39" s="113"/>
      <c r="I39" s="93"/>
      <c r="J39" s="67"/>
    </row>
    <row r="40" spans="1:12" s="70" customFormat="1">
      <c r="A40" s="114"/>
      <c r="B40" s="67"/>
      <c r="C40" s="419"/>
      <c r="D40" s="88"/>
      <c r="E40" s="113"/>
      <c r="F40" s="113"/>
      <c r="G40" s="121"/>
      <c r="H40" s="121"/>
      <c r="I40" s="86"/>
      <c r="J40" s="67"/>
      <c r="L40" s="182"/>
    </row>
    <row r="41" spans="1:12" s="70" customFormat="1">
      <c r="A41" s="123"/>
      <c r="B41" s="68"/>
      <c r="C41" s="71"/>
      <c r="D41" s="66"/>
      <c r="E41" s="73"/>
      <c r="F41" s="69"/>
      <c r="G41" s="121"/>
      <c r="H41" s="121"/>
      <c r="I41" s="116"/>
      <c r="J41" s="67"/>
      <c r="L41" s="182"/>
    </row>
    <row r="42" spans="1:12">
      <c r="A42" s="123"/>
      <c r="B42" s="68"/>
      <c r="C42" s="71"/>
      <c r="D42" s="66"/>
      <c r="E42" s="188"/>
      <c r="F42" s="188"/>
      <c r="G42" s="113"/>
      <c r="H42" s="113"/>
      <c r="I42" s="86"/>
      <c r="J42" s="67"/>
      <c r="K42" s="72"/>
    </row>
    <row r="43" spans="1:12">
      <c r="A43" s="123"/>
      <c r="B43" s="68"/>
      <c r="C43" s="71"/>
      <c r="D43" s="66"/>
      <c r="E43" s="188"/>
      <c r="F43" s="188"/>
      <c r="G43" s="128"/>
      <c r="H43" s="113"/>
      <c r="I43" s="86"/>
      <c r="J43" s="67"/>
      <c r="K43" s="72"/>
    </row>
    <row r="44" spans="1:12">
      <c r="A44" s="123"/>
      <c r="B44" s="66" t="s">
        <v>18</v>
      </c>
      <c r="C44" s="71"/>
      <c r="D44" s="66"/>
      <c r="E44" s="73"/>
      <c r="F44" s="193">
        <f>SUM(F27:F42)</f>
        <v>88850</v>
      </c>
      <c r="G44" s="436"/>
      <c r="H44" s="193">
        <f>SUM(H27:H42)</f>
        <v>14762</v>
      </c>
      <c r="I44" s="116"/>
      <c r="J44" s="67"/>
      <c r="K44" s="72">
        <f>+H44+F44</f>
        <v>103612</v>
      </c>
    </row>
    <row r="45" spans="1:12">
      <c r="A45" s="94"/>
      <c r="B45" s="114" t="s">
        <v>53</v>
      </c>
      <c r="C45" s="71"/>
      <c r="D45" s="66"/>
      <c r="E45" s="73"/>
      <c r="F45" s="69"/>
      <c r="G45" s="436"/>
      <c r="H45" s="437"/>
      <c r="I45" s="197">
        <f>SUM(I27:I44)</f>
        <v>103612</v>
      </c>
      <c r="J45" s="67"/>
      <c r="K45" s="72">
        <f>+I45+I26</f>
        <v>1792215</v>
      </c>
    </row>
  </sheetData>
  <mergeCells count="15">
    <mergeCell ref="A1:J1"/>
    <mergeCell ref="E6:F6"/>
    <mergeCell ref="G6:H6"/>
    <mergeCell ref="G28:H28"/>
    <mergeCell ref="G29:H29"/>
    <mergeCell ref="G18:H18"/>
    <mergeCell ref="G19:H19"/>
    <mergeCell ref="G20:H20"/>
    <mergeCell ref="G21:H21"/>
    <mergeCell ref="A6:A7"/>
    <mergeCell ref="B6:B7"/>
    <mergeCell ref="C6:C7"/>
    <mergeCell ref="D6:D7"/>
    <mergeCell ref="J6:J7"/>
    <mergeCell ref="G11:H11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8"/>
  <sheetViews>
    <sheetView view="pageBreakPreview" topLeftCell="A7" zoomScale="130" zoomScaleSheetLayoutView="130" workbookViewId="0">
      <selection sqref="A1:J28"/>
    </sheetView>
  </sheetViews>
  <sheetFormatPr defaultRowHeight="18"/>
  <cols>
    <col min="1" max="1" width="10.7109375" style="187" customWidth="1"/>
    <col min="2" max="2" width="58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2" s="169" customForma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</row>
    <row r="2" spans="1:12" s="174" customForma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2" s="169" customForma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">
        <v>413</v>
      </c>
      <c r="H3" s="172"/>
      <c r="I3" s="172"/>
      <c r="J3" s="171"/>
    </row>
    <row r="4" spans="1:12" s="174" customForma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2" s="174" customFormat="1" ht="18.75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2" ht="18.75" thickTop="1">
      <c r="A6" s="507" t="s">
        <v>61</v>
      </c>
      <c r="B6" s="455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462" t="s">
        <v>42</v>
      </c>
      <c r="J6" s="507" t="s">
        <v>8</v>
      </c>
    </row>
    <row r="7" spans="1:12" ht="18.75" thickBot="1">
      <c r="A7" s="508"/>
      <c r="B7" s="456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463" t="s">
        <v>52</v>
      </c>
      <c r="J7" s="508"/>
      <c r="L7" s="190"/>
    </row>
    <row r="8" spans="1:12" s="374" customFormat="1" ht="19.5" customHeight="1" thickTop="1">
      <c r="A8" s="66"/>
      <c r="B8" s="464" t="s">
        <v>280</v>
      </c>
      <c r="C8" s="384"/>
      <c r="D8" s="104"/>
      <c r="E8" s="385"/>
      <c r="F8" s="385"/>
      <c r="G8" s="346"/>
      <c r="H8" s="346"/>
      <c r="I8" s="112"/>
      <c r="J8" s="68"/>
      <c r="K8" s="70"/>
    </row>
    <row r="9" spans="1:12" s="374" customFormat="1" ht="19.5" customHeight="1">
      <c r="A9" s="66"/>
      <c r="B9" s="107" t="s">
        <v>281</v>
      </c>
      <c r="C9" s="384">
        <v>4</v>
      </c>
      <c r="D9" s="104"/>
      <c r="E9" s="385">
        <v>2100</v>
      </c>
      <c r="F9" s="401">
        <f t="shared" ref="F9:F11" si="0">C9*E9</f>
        <v>8400</v>
      </c>
      <c r="G9" s="403" t="s">
        <v>95</v>
      </c>
      <c r="H9" s="403" t="s">
        <v>95</v>
      </c>
      <c r="I9" s="112">
        <f>SUM(F9)</f>
        <v>8400</v>
      </c>
      <c r="J9" s="68"/>
      <c r="K9" s="465"/>
    </row>
    <row r="10" spans="1:12" s="374" customFormat="1" ht="19.5" customHeight="1">
      <c r="A10" s="66"/>
      <c r="B10" s="107" t="s">
        <v>293</v>
      </c>
      <c r="C10" s="384">
        <v>4</v>
      </c>
      <c r="D10" s="104" t="s">
        <v>103</v>
      </c>
      <c r="E10" s="385">
        <v>180</v>
      </c>
      <c r="F10" s="401">
        <f t="shared" si="0"/>
        <v>720</v>
      </c>
      <c r="G10" s="403" t="s">
        <v>95</v>
      </c>
      <c r="H10" s="403" t="s">
        <v>95</v>
      </c>
      <c r="I10" s="112">
        <f t="shared" ref="I10:I21" si="1">SUM(F10)</f>
        <v>720</v>
      </c>
      <c r="J10" s="68"/>
    </row>
    <row r="11" spans="1:12" s="374" customFormat="1" ht="19.5" customHeight="1">
      <c r="A11" s="68"/>
      <c r="B11" s="107" t="s">
        <v>283</v>
      </c>
      <c r="C11" s="384">
        <v>4</v>
      </c>
      <c r="D11" s="104" t="s">
        <v>103</v>
      </c>
      <c r="E11" s="385">
        <v>30</v>
      </c>
      <c r="F11" s="401">
        <f t="shared" si="0"/>
        <v>120</v>
      </c>
      <c r="G11" s="403" t="s">
        <v>95</v>
      </c>
      <c r="H11" s="403" t="s">
        <v>95</v>
      </c>
      <c r="I11" s="112">
        <f t="shared" si="1"/>
        <v>120</v>
      </c>
      <c r="J11" s="68"/>
    </row>
    <row r="12" spans="1:12" s="374" customFormat="1" ht="19.5" customHeight="1">
      <c r="A12" s="66"/>
      <c r="B12" s="107" t="s">
        <v>282</v>
      </c>
      <c r="C12" s="384">
        <v>7</v>
      </c>
      <c r="D12" s="104" t="s">
        <v>103</v>
      </c>
      <c r="E12" s="385">
        <v>380</v>
      </c>
      <c r="F12" s="401">
        <f t="shared" ref="F12:F13" si="2">C12*E12</f>
        <v>2660</v>
      </c>
      <c r="G12" s="403" t="s">
        <v>95</v>
      </c>
      <c r="H12" s="403" t="s">
        <v>95</v>
      </c>
      <c r="I12" s="112">
        <f t="shared" ref="I12:I14" si="3">SUM(F12)</f>
        <v>2660</v>
      </c>
      <c r="J12" s="68"/>
    </row>
    <row r="13" spans="1:12" s="374" customFormat="1" ht="19.5" customHeight="1">
      <c r="A13" s="68"/>
      <c r="B13" s="107" t="s">
        <v>283</v>
      </c>
      <c r="C13" s="384">
        <v>7</v>
      </c>
      <c r="D13" s="104" t="s">
        <v>103</v>
      </c>
      <c r="E13" s="385">
        <v>30</v>
      </c>
      <c r="F13" s="401">
        <f t="shared" si="2"/>
        <v>210</v>
      </c>
      <c r="G13" s="403" t="s">
        <v>95</v>
      </c>
      <c r="H13" s="403" t="s">
        <v>95</v>
      </c>
      <c r="I13" s="112">
        <f t="shared" si="3"/>
        <v>210</v>
      </c>
      <c r="J13" s="68"/>
    </row>
    <row r="14" spans="1:12" s="374" customFormat="1" ht="19.5" customHeight="1">
      <c r="A14" s="66"/>
      <c r="B14" s="107" t="s">
        <v>294</v>
      </c>
      <c r="C14" s="384">
        <v>138</v>
      </c>
      <c r="D14" s="104" t="s">
        <v>260</v>
      </c>
      <c r="E14" s="348">
        <v>35</v>
      </c>
      <c r="F14" s="346">
        <f>SUM(C14*E14)</f>
        <v>4830</v>
      </c>
      <c r="G14" s="386" t="s">
        <v>95</v>
      </c>
      <c r="H14" s="386" t="s">
        <v>95</v>
      </c>
      <c r="I14" s="112">
        <f t="shared" si="3"/>
        <v>4830</v>
      </c>
      <c r="J14" s="68"/>
    </row>
    <row r="15" spans="1:12" s="374" customFormat="1" ht="19.5" customHeight="1">
      <c r="A15" s="66"/>
      <c r="B15" s="107" t="s">
        <v>284</v>
      </c>
      <c r="C15" s="384">
        <v>594</v>
      </c>
      <c r="D15" s="104" t="s">
        <v>260</v>
      </c>
      <c r="E15" s="348">
        <v>114</v>
      </c>
      <c r="F15" s="346">
        <f>SUM(C15*E15)</f>
        <v>67716</v>
      </c>
      <c r="G15" s="386" t="s">
        <v>95</v>
      </c>
      <c r="H15" s="386" t="s">
        <v>95</v>
      </c>
      <c r="I15" s="112">
        <f t="shared" si="1"/>
        <v>67716</v>
      </c>
      <c r="J15" s="68"/>
    </row>
    <row r="16" spans="1:12" s="374" customFormat="1" ht="19.5" customHeight="1">
      <c r="A16" s="66"/>
      <c r="B16" s="107" t="s">
        <v>285</v>
      </c>
      <c r="C16" s="396">
        <v>6</v>
      </c>
      <c r="D16" s="104" t="s">
        <v>135</v>
      </c>
      <c r="E16" s="348">
        <v>461</v>
      </c>
      <c r="F16" s="346">
        <f>SUM(C16*E16)</f>
        <v>2766</v>
      </c>
      <c r="G16" s="386" t="s">
        <v>95</v>
      </c>
      <c r="H16" s="386" t="s">
        <v>95</v>
      </c>
      <c r="I16" s="112">
        <f t="shared" si="1"/>
        <v>2766</v>
      </c>
      <c r="J16" s="68"/>
    </row>
    <row r="17" spans="1:12" s="374" customFormat="1" ht="19.5" customHeight="1">
      <c r="A17" s="66"/>
      <c r="B17" s="107" t="s">
        <v>295</v>
      </c>
      <c r="C17" s="396">
        <v>4</v>
      </c>
      <c r="D17" s="104" t="s">
        <v>103</v>
      </c>
      <c r="E17" s="348">
        <v>2980</v>
      </c>
      <c r="F17" s="346">
        <f>SUM(C17*E17)</f>
        <v>11920</v>
      </c>
      <c r="G17" s="386" t="s">
        <v>95</v>
      </c>
      <c r="H17" s="386" t="s">
        <v>95</v>
      </c>
      <c r="I17" s="112">
        <f t="shared" ref="I17" si="4">SUM(F17)</f>
        <v>11920</v>
      </c>
      <c r="J17" s="68"/>
    </row>
    <row r="18" spans="1:12" s="374" customFormat="1" ht="19.5" customHeight="1">
      <c r="A18" s="66"/>
      <c r="B18" s="107" t="s">
        <v>286</v>
      </c>
      <c r="C18" s="345">
        <v>1</v>
      </c>
      <c r="D18" s="77" t="s">
        <v>103</v>
      </c>
      <c r="E18" s="347">
        <v>3500</v>
      </c>
      <c r="F18" s="385">
        <f t="shared" ref="F18" si="5">SUM(C18*E18)</f>
        <v>3500</v>
      </c>
      <c r="G18" s="403" t="s">
        <v>95</v>
      </c>
      <c r="H18" s="403" t="s">
        <v>95</v>
      </c>
      <c r="I18" s="112">
        <f t="shared" si="1"/>
        <v>3500</v>
      </c>
      <c r="J18" s="68"/>
    </row>
    <row r="19" spans="1:12" s="374" customFormat="1" ht="19.5" customHeight="1">
      <c r="A19" s="66"/>
      <c r="B19" s="107" t="s">
        <v>287</v>
      </c>
      <c r="C19" s="384">
        <v>16</v>
      </c>
      <c r="D19" s="104" t="s">
        <v>103</v>
      </c>
      <c r="E19" s="385">
        <v>107</v>
      </c>
      <c r="F19" s="401">
        <f t="shared" ref="F19:F20" si="6">C19*E19</f>
        <v>1712</v>
      </c>
      <c r="G19" s="403" t="s">
        <v>95</v>
      </c>
      <c r="H19" s="403" t="s">
        <v>95</v>
      </c>
      <c r="I19" s="112">
        <f t="shared" si="1"/>
        <v>1712</v>
      </c>
      <c r="J19" s="68"/>
    </row>
    <row r="20" spans="1:12" s="374" customFormat="1" ht="19.5" customHeight="1">
      <c r="A20" s="68"/>
      <c r="B20" s="389" t="s">
        <v>291</v>
      </c>
      <c r="C20" s="404">
        <v>1</v>
      </c>
      <c r="D20" s="405" t="s">
        <v>103</v>
      </c>
      <c r="E20" s="406">
        <v>90</v>
      </c>
      <c r="F20" s="400">
        <f t="shared" si="6"/>
        <v>90</v>
      </c>
      <c r="G20" s="352" t="s">
        <v>95</v>
      </c>
      <c r="H20" s="352" t="s">
        <v>95</v>
      </c>
      <c r="I20" s="98">
        <f t="shared" si="1"/>
        <v>90</v>
      </c>
      <c r="J20" s="68"/>
    </row>
    <row r="21" spans="1:12" s="374" customFormat="1" ht="19.5" customHeight="1">
      <c r="A21" s="66"/>
      <c r="B21" s="68" t="s">
        <v>136</v>
      </c>
      <c r="C21" s="396">
        <v>1</v>
      </c>
      <c r="D21" s="407" t="s">
        <v>19</v>
      </c>
      <c r="E21" s="346">
        <v>13000</v>
      </c>
      <c r="F21" s="347">
        <f>SUM(C21*E21)</f>
        <v>13000</v>
      </c>
      <c r="G21" s="408" t="s">
        <v>95</v>
      </c>
      <c r="H21" s="409" t="s">
        <v>95</v>
      </c>
      <c r="I21" s="112">
        <f t="shared" si="1"/>
        <v>13000</v>
      </c>
      <c r="J21" s="68"/>
      <c r="L21" s="374" t="s">
        <v>288</v>
      </c>
    </row>
    <row r="22" spans="1:12" s="374" customFormat="1" ht="19.5" customHeight="1">
      <c r="A22" s="66"/>
      <c r="B22" s="82" t="s">
        <v>289</v>
      </c>
      <c r="C22" s="396">
        <v>1</v>
      </c>
      <c r="D22" s="66" t="s">
        <v>19</v>
      </c>
      <c r="E22" s="386" t="s">
        <v>95</v>
      </c>
      <c r="F22" s="386" t="s">
        <v>95</v>
      </c>
      <c r="G22" s="346">
        <v>20000</v>
      </c>
      <c r="H22" s="401">
        <f>SUM(G22*C22)</f>
        <v>20000</v>
      </c>
      <c r="I22" s="112">
        <f>SUM(H22)</f>
        <v>20000</v>
      </c>
      <c r="J22" s="68"/>
      <c r="L22" s="374" t="s">
        <v>290</v>
      </c>
    </row>
    <row r="23" spans="1:12" s="70" customFormat="1" ht="18.600000000000001" customHeight="1">
      <c r="A23" s="114"/>
      <c r="B23" s="466"/>
      <c r="C23" s="448"/>
      <c r="D23" s="405"/>
      <c r="E23" s="467"/>
      <c r="F23" s="467"/>
      <c r="G23" s="468"/>
      <c r="H23" s="468"/>
      <c r="I23" s="100"/>
      <c r="J23" s="67"/>
      <c r="K23" s="185"/>
      <c r="L23" s="182"/>
    </row>
    <row r="24" spans="1:12" s="70" customFormat="1" ht="18.600000000000001" customHeight="1">
      <c r="A24" s="114"/>
      <c r="B24" s="466"/>
      <c r="C24" s="448"/>
      <c r="D24" s="405"/>
      <c r="E24" s="467"/>
      <c r="F24" s="467"/>
      <c r="G24" s="468"/>
      <c r="H24" s="468"/>
      <c r="I24" s="100"/>
      <c r="J24" s="67"/>
      <c r="K24" s="185"/>
      <c r="L24" s="182"/>
    </row>
    <row r="25" spans="1:12" s="70" customFormat="1" ht="18.600000000000001" customHeight="1">
      <c r="A25" s="114"/>
      <c r="B25" s="466"/>
      <c r="C25" s="448"/>
      <c r="D25" s="405"/>
      <c r="E25" s="467"/>
      <c r="F25" s="467"/>
      <c r="G25" s="468"/>
      <c r="H25" s="468"/>
      <c r="I25" s="100"/>
      <c r="J25" s="67"/>
      <c r="L25" s="182"/>
    </row>
    <row r="26" spans="1:12" s="70" customFormat="1" ht="18.600000000000001" customHeight="1">
      <c r="A26" s="114"/>
      <c r="B26" s="466"/>
      <c r="C26" s="448"/>
      <c r="D26" s="405"/>
      <c r="E26" s="467"/>
      <c r="F26" s="467"/>
      <c r="G26" s="468"/>
      <c r="H26" s="468"/>
      <c r="I26" s="100"/>
      <c r="J26" s="67"/>
      <c r="L26" s="182"/>
    </row>
    <row r="27" spans="1:12" s="70" customFormat="1" ht="18.600000000000001" customHeight="1">
      <c r="A27" s="114"/>
      <c r="B27" s="410" t="s">
        <v>18</v>
      </c>
      <c r="C27" s="71"/>
      <c r="D27" s="66"/>
      <c r="E27" s="73"/>
      <c r="F27" s="469">
        <f>SUM(F9:F26)</f>
        <v>117644</v>
      </c>
      <c r="G27" s="436"/>
      <c r="H27" s="193">
        <f>SUM(H8:H26)</f>
        <v>20000</v>
      </c>
      <c r="I27" s="116"/>
      <c r="J27" s="67"/>
      <c r="K27" s="72">
        <f>+H27+F27</f>
        <v>137644</v>
      </c>
      <c r="L27" s="186"/>
    </row>
    <row r="28" spans="1:12" s="70" customFormat="1" ht="18.95" customHeight="1">
      <c r="A28" s="114"/>
      <c r="B28" s="470" t="s">
        <v>53</v>
      </c>
      <c r="C28" s="71"/>
      <c r="D28" s="66"/>
      <c r="E28" s="73"/>
      <c r="F28" s="69"/>
      <c r="G28" s="436"/>
      <c r="H28" s="127"/>
      <c r="I28" s="471">
        <f>SUM(I8:I27)</f>
        <v>137644</v>
      </c>
      <c r="J28" s="67"/>
      <c r="L28" s="182"/>
    </row>
  </sheetData>
  <mergeCells count="7">
    <mergeCell ref="A1:J1"/>
    <mergeCell ref="E6:F6"/>
    <mergeCell ref="G6:H6"/>
    <mergeCell ref="A6:A7"/>
    <mergeCell ref="C6:C7"/>
    <mergeCell ref="D6:D7"/>
    <mergeCell ref="J6:J7"/>
  </mergeCells>
  <conditionalFormatting sqref="E10:I11">
    <cfRule type="cellIs" dxfId="2" priority="3" operator="lessThan">
      <formula>1</formula>
    </cfRule>
  </conditionalFormatting>
  <conditionalFormatting sqref="E12:I12">
    <cfRule type="cellIs" dxfId="1" priority="2" operator="lessThan">
      <formula>1</formula>
    </cfRule>
  </conditionalFormatting>
  <conditionalFormatting sqref="E13:I13">
    <cfRule type="cellIs" dxfId="0" priority="1" operator="lessThan">
      <formula>1</formula>
    </cfRule>
  </conditionalFormatting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78"/>
  <sheetViews>
    <sheetView view="pageBreakPreview" topLeftCell="A38" zoomScale="90" zoomScaleSheetLayoutView="90" workbookViewId="0">
      <selection sqref="A1:J64"/>
    </sheetView>
  </sheetViews>
  <sheetFormatPr defaultRowHeight="18"/>
  <cols>
    <col min="1" max="1" width="10.7109375" style="18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2" s="169" customForma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  <c r="L1" s="169">
        <v>304000</v>
      </c>
    </row>
    <row r="2" spans="1:12" s="174" customForma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2" s="169" customForma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3" t="s">
        <v>14</v>
      </c>
      <c r="G3" s="171" t="s">
        <v>414</v>
      </c>
      <c r="H3" s="172"/>
      <c r="I3" s="172"/>
      <c r="J3" s="171"/>
    </row>
    <row r="4" spans="1:12" s="174" customForma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2" s="174" customFormat="1" ht="18.75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2" ht="18.75" thickTop="1">
      <c r="A6" s="507" t="s">
        <v>61</v>
      </c>
      <c r="B6" s="455"/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2" ht="18.75" thickBot="1">
      <c r="A7" s="508"/>
      <c r="B7" s="456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2" ht="18.75" thickTop="1">
      <c r="A8" s="132"/>
      <c r="B8" s="129" t="s">
        <v>365</v>
      </c>
      <c r="C8" s="109"/>
      <c r="D8" s="65"/>
      <c r="E8" s="110"/>
      <c r="F8" s="110"/>
      <c r="G8" s="110"/>
      <c r="H8" s="435"/>
      <c r="I8" s="111"/>
      <c r="J8" s="65"/>
    </row>
    <row r="9" spans="1:12">
      <c r="A9" s="114"/>
      <c r="B9" s="440" t="s">
        <v>301</v>
      </c>
      <c r="C9" s="71"/>
      <c r="D9" s="66"/>
      <c r="E9" s="73"/>
      <c r="F9" s="193"/>
      <c r="G9" s="441"/>
      <c r="H9" s="441"/>
      <c r="I9" s="442"/>
      <c r="J9" s="67"/>
    </row>
    <row r="10" spans="1:12" s="70" customFormat="1">
      <c r="A10" s="114"/>
      <c r="B10" s="103" t="s">
        <v>302</v>
      </c>
      <c r="C10" s="443">
        <v>17</v>
      </c>
      <c r="D10" s="120" t="s">
        <v>260</v>
      </c>
      <c r="E10" s="119">
        <v>54</v>
      </c>
      <c r="F10" s="119">
        <f>SUM(E10*C10)</f>
        <v>918</v>
      </c>
      <c r="G10" s="119">
        <v>50</v>
      </c>
      <c r="H10" s="119">
        <f>SUM(G10*C10)</f>
        <v>850</v>
      </c>
      <c r="I10" s="100">
        <f>SUM(H10+F10)</f>
        <v>1768</v>
      </c>
      <c r="J10" s="67"/>
      <c r="L10" s="182"/>
    </row>
    <row r="11" spans="1:12" s="70" customFormat="1">
      <c r="A11" s="114"/>
      <c r="B11" s="67" t="s">
        <v>366</v>
      </c>
      <c r="C11" s="88">
        <v>22</v>
      </c>
      <c r="D11" s="88" t="s">
        <v>260</v>
      </c>
      <c r="E11" s="113">
        <v>248</v>
      </c>
      <c r="F11" s="113">
        <f>SUM(E11*C11)</f>
        <v>5456</v>
      </c>
      <c r="G11" s="113">
        <v>150</v>
      </c>
      <c r="H11" s="113">
        <f>SUM(G11*C11)</f>
        <v>3300</v>
      </c>
      <c r="I11" s="86">
        <f>SUM(H11+F11)</f>
        <v>8756</v>
      </c>
      <c r="J11" s="67"/>
      <c r="L11" s="182"/>
    </row>
    <row r="12" spans="1:12" s="70" customFormat="1">
      <c r="A12" s="114"/>
      <c r="B12" s="440" t="s">
        <v>367</v>
      </c>
      <c r="C12" s="120"/>
      <c r="D12" s="120"/>
      <c r="E12" s="188"/>
      <c r="F12" s="188"/>
      <c r="G12" s="119"/>
      <c r="H12" s="119"/>
      <c r="I12" s="100"/>
      <c r="J12" s="67"/>
      <c r="L12" s="182"/>
    </row>
    <row r="13" spans="1:12" s="70" customFormat="1">
      <c r="A13" s="114"/>
      <c r="B13" s="103" t="s">
        <v>345</v>
      </c>
      <c r="C13" s="120">
        <v>8</v>
      </c>
      <c r="D13" s="120" t="s">
        <v>260</v>
      </c>
      <c r="E13" s="119">
        <v>693.34</v>
      </c>
      <c r="F13" s="119">
        <f>SUM(E13*C13)</f>
        <v>5546.72</v>
      </c>
      <c r="G13" s="119">
        <v>280</v>
      </c>
      <c r="H13" s="119">
        <f>SUM(G13*C13)</f>
        <v>2240</v>
      </c>
      <c r="I13" s="100">
        <f>SUM(H13+F13)</f>
        <v>7786.72</v>
      </c>
      <c r="J13" s="67"/>
      <c r="L13" s="182"/>
    </row>
    <row r="14" spans="1:12" s="70" customFormat="1">
      <c r="A14" s="114"/>
      <c r="B14" s="103" t="s">
        <v>368</v>
      </c>
      <c r="C14" s="88">
        <v>1</v>
      </c>
      <c r="D14" s="88" t="s">
        <v>19</v>
      </c>
      <c r="E14" s="119">
        <v>150000</v>
      </c>
      <c r="F14" s="119">
        <f>SUM(E14*C14)</f>
        <v>150000</v>
      </c>
      <c r="G14" s="513" t="s">
        <v>133</v>
      </c>
      <c r="H14" s="514"/>
      <c r="I14" s="100">
        <f>SUM(H14+F14)</f>
        <v>150000</v>
      </c>
      <c r="J14" s="67"/>
      <c r="K14" s="70" t="s">
        <v>369</v>
      </c>
      <c r="L14" s="182"/>
    </row>
    <row r="15" spans="1:12" s="70" customFormat="1">
      <c r="A15" s="114"/>
      <c r="B15" s="68" t="s">
        <v>304</v>
      </c>
      <c r="C15" s="88">
        <v>1</v>
      </c>
      <c r="D15" s="88" t="s">
        <v>19</v>
      </c>
      <c r="E15" s="113">
        <v>3576</v>
      </c>
      <c r="F15" s="113">
        <f>SUM(E15*C15)</f>
        <v>3576</v>
      </c>
      <c r="G15" s="113">
        <v>1073</v>
      </c>
      <c r="H15" s="113">
        <f>SUM(G15*C15)</f>
        <v>1073</v>
      </c>
      <c r="I15" s="86">
        <f>SUM(H15+F15)</f>
        <v>4649</v>
      </c>
      <c r="J15" s="67"/>
      <c r="K15" s="185">
        <f>SUM(F10:F13)</f>
        <v>11920.720000000001</v>
      </c>
      <c r="L15" s="182"/>
    </row>
    <row r="16" spans="1:12" s="70" customFormat="1">
      <c r="A16" s="114"/>
      <c r="B16" s="68" t="s">
        <v>305</v>
      </c>
      <c r="C16" s="88">
        <v>1</v>
      </c>
      <c r="D16" s="88" t="s">
        <v>19</v>
      </c>
      <c r="E16" s="113">
        <v>1192</v>
      </c>
      <c r="F16" s="113">
        <f>SUM(E16*C16)</f>
        <v>1192</v>
      </c>
      <c r="G16" s="113">
        <v>357</v>
      </c>
      <c r="H16" s="113">
        <f>SUM(G16*C16)</f>
        <v>357</v>
      </c>
      <c r="I16" s="86">
        <f>SUM(H16+F16)</f>
        <v>1549</v>
      </c>
      <c r="J16" s="67"/>
      <c r="K16" s="70">
        <f>SUM(K15*30%)</f>
        <v>3576.2160000000003</v>
      </c>
      <c r="L16" s="182">
        <f>SUM(K16*30%)</f>
        <v>1072.8648000000001</v>
      </c>
    </row>
    <row r="17" spans="1:12" s="70" customFormat="1">
      <c r="A17" s="114"/>
      <c r="B17" s="87" t="s">
        <v>310</v>
      </c>
      <c r="C17" s="419"/>
      <c r="D17" s="77"/>
      <c r="E17" s="73"/>
      <c r="F17" s="69"/>
      <c r="G17" s="69"/>
      <c r="H17" s="69"/>
      <c r="I17" s="116"/>
      <c r="J17" s="67"/>
      <c r="K17" s="70">
        <f>SUM(K15*10%)</f>
        <v>1192.0720000000001</v>
      </c>
      <c r="L17" s="182">
        <f>SUM(K17*30%)</f>
        <v>357.6216</v>
      </c>
    </row>
    <row r="18" spans="1:12" s="70" customFormat="1">
      <c r="A18" s="114"/>
      <c r="B18" s="446" t="s">
        <v>318</v>
      </c>
      <c r="C18" s="67"/>
      <c r="D18" s="67"/>
      <c r="E18" s="67"/>
      <c r="F18" s="67"/>
      <c r="G18" s="67"/>
      <c r="H18" s="67"/>
      <c r="I18" s="67"/>
      <c r="J18" s="67"/>
      <c r="L18" s="182"/>
    </row>
    <row r="19" spans="1:12" s="70" customFormat="1">
      <c r="A19" s="114"/>
      <c r="B19" s="67" t="s">
        <v>370</v>
      </c>
      <c r="C19" s="88">
        <v>1</v>
      </c>
      <c r="D19" s="88" t="s">
        <v>103</v>
      </c>
      <c r="E19" s="113">
        <v>17840</v>
      </c>
      <c r="F19" s="113">
        <f>SUM(E19*C19)</f>
        <v>17840</v>
      </c>
      <c r="G19" s="95" t="s">
        <v>95</v>
      </c>
      <c r="H19" s="95" t="s">
        <v>95</v>
      </c>
      <c r="I19" s="86">
        <f>SUM(F19)</f>
        <v>17840</v>
      </c>
      <c r="J19" s="67"/>
      <c r="L19" s="182"/>
    </row>
    <row r="20" spans="1:12" s="70" customFormat="1">
      <c r="A20" s="114"/>
      <c r="B20" s="452"/>
      <c r="C20" s="71"/>
      <c r="D20" s="66"/>
      <c r="E20" s="113"/>
      <c r="F20" s="113"/>
      <c r="G20" s="121"/>
      <c r="H20" s="121"/>
      <c r="I20" s="390"/>
      <c r="J20" s="67"/>
      <c r="L20" s="182"/>
    </row>
    <row r="21" spans="1:12">
      <c r="A21" s="114"/>
      <c r="B21" s="452"/>
      <c r="C21" s="71"/>
      <c r="D21" s="66"/>
      <c r="E21" s="121"/>
      <c r="F21" s="121"/>
      <c r="G21" s="113"/>
      <c r="H21" s="113"/>
      <c r="I21" s="390"/>
      <c r="J21" s="67"/>
    </row>
    <row r="22" spans="1:12">
      <c r="A22" s="114"/>
      <c r="B22" s="68"/>
      <c r="C22" s="71"/>
      <c r="D22" s="66"/>
      <c r="E22" s="113"/>
      <c r="F22" s="113"/>
      <c r="G22" s="113"/>
      <c r="H22" s="113"/>
      <c r="I22" s="390"/>
      <c r="J22" s="67"/>
    </row>
    <row r="23" spans="1:12">
      <c r="A23" s="123"/>
      <c r="B23" s="68"/>
      <c r="C23" s="71"/>
      <c r="D23" s="66"/>
      <c r="E23" s="113"/>
      <c r="F23" s="113"/>
      <c r="G23" s="128"/>
      <c r="H23" s="113"/>
      <c r="I23" s="86"/>
      <c r="J23" s="67"/>
    </row>
    <row r="24" spans="1:12">
      <c r="A24" s="123"/>
      <c r="B24" s="68"/>
      <c r="C24" s="71"/>
      <c r="D24" s="66"/>
      <c r="E24" s="113"/>
      <c r="F24" s="113"/>
      <c r="G24" s="128"/>
      <c r="H24" s="113"/>
      <c r="I24" s="86"/>
      <c r="J24" s="67"/>
    </row>
    <row r="25" spans="1:12">
      <c r="A25" s="123"/>
      <c r="B25" s="66" t="s">
        <v>18</v>
      </c>
      <c r="C25" s="71"/>
      <c r="D25" s="66"/>
      <c r="E25" s="73"/>
      <c r="F25" s="115">
        <f>SUM(F10:F22)</f>
        <v>184528.72</v>
      </c>
      <c r="G25" s="436"/>
      <c r="H25" s="115">
        <f>SUM(H10:H22)</f>
        <v>7820</v>
      </c>
      <c r="I25" s="116"/>
      <c r="J25" s="67"/>
      <c r="K25" s="72">
        <f>+H25+F25</f>
        <v>192348.72</v>
      </c>
    </row>
    <row r="26" spans="1:12">
      <c r="A26" s="123"/>
      <c r="B26" s="114" t="s">
        <v>53</v>
      </c>
      <c r="C26" s="71"/>
      <c r="D26" s="66"/>
      <c r="E26" s="73"/>
      <c r="F26" s="69"/>
      <c r="G26" s="436"/>
      <c r="H26" s="437"/>
      <c r="I26" s="117">
        <f>SUM(I10:I22)</f>
        <v>192348.72</v>
      </c>
      <c r="J26" s="67"/>
      <c r="K26" s="72"/>
    </row>
    <row r="27" spans="1:12">
      <c r="A27" s="123"/>
      <c r="B27" s="129" t="s">
        <v>371</v>
      </c>
      <c r="C27" s="71"/>
      <c r="D27" s="66"/>
      <c r="E27" s="73"/>
      <c r="F27" s="69"/>
      <c r="G27" s="436"/>
      <c r="H27" s="437"/>
      <c r="I27" s="100"/>
      <c r="J27" s="67"/>
      <c r="K27" s="72"/>
    </row>
    <row r="28" spans="1:12">
      <c r="A28" s="94"/>
      <c r="B28" s="87" t="s">
        <v>372</v>
      </c>
      <c r="C28" s="88"/>
      <c r="D28" s="88"/>
      <c r="E28" s="113"/>
      <c r="F28" s="113"/>
      <c r="G28" s="95"/>
      <c r="H28" s="95"/>
      <c r="I28" s="100"/>
      <c r="J28" s="67"/>
    </row>
    <row r="29" spans="1:12">
      <c r="A29" s="94"/>
      <c r="B29" s="68" t="s">
        <v>373</v>
      </c>
      <c r="C29" s="88">
        <v>2</v>
      </c>
      <c r="D29" s="88" t="s">
        <v>260</v>
      </c>
      <c r="E29" s="113">
        <v>383</v>
      </c>
      <c r="F29" s="113">
        <f t="shared" ref="F29:F39" si="0">SUM(E29*C29)</f>
        <v>766</v>
      </c>
      <c r="G29" s="113">
        <v>250</v>
      </c>
      <c r="H29" s="113">
        <f>SUM(G29*C29)</f>
        <v>500</v>
      </c>
      <c r="I29" s="86">
        <f>SUM(H29+F29)</f>
        <v>1266</v>
      </c>
      <c r="J29" s="67"/>
    </row>
    <row r="30" spans="1:12">
      <c r="A30" s="94"/>
      <c r="B30" s="67" t="s">
        <v>374</v>
      </c>
      <c r="C30" s="88">
        <v>1</v>
      </c>
      <c r="D30" s="88" t="s">
        <v>260</v>
      </c>
      <c r="E30" s="113">
        <v>248</v>
      </c>
      <c r="F30" s="113">
        <f t="shared" si="0"/>
        <v>248</v>
      </c>
      <c r="G30" s="113">
        <v>150</v>
      </c>
      <c r="H30" s="113">
        <f>SUM(G30*C30)</f>
        <v>150</v>
      </c>
      <c r="I30" s="86">
        <f>SUM(H30+F30)</f>
        <v>398</v>
      </c>
      <c r="J30" s="67"/>
    </row>
    <row r="31" spans="1:12">
      <c r="A31" s="94"/>
      <c r="B31" s="67" t="s">
        <v>375</v>
      </c>
      <c r="C31" s="91">
        <v>1</v>
      </c>
      <c r="D31" s="88" t="s">
        <v>103</v>
      </c>
      <c r="E31" s="119">
        <v>16900</v>
      </c>
      <c r="F31" s="119">
        <f t="shared" si="0"/>
        <v>16900</v>
      </c>
      <c r="G31" s="95" t="s">
        <v>95</v>
      </c>
      <c r="H31" s="95" t="s">
        <v>95</v>
      </c>
      <c r="I31" s="100">
        <f t="shared" ref="I31:I36" si="1">SUM(F31)</f>
        <v>16900</v>
      </c>
      <c r="J31" s="67"/>
    </row>
    <row r="32" spans="1:12">
      <c r="A32" s="94"/>
      <c r="B32" s="67" t="s">
        <v>376</v>
      </c>
      <c r="C32" s="91">
        <v>1</v>
      </c>
      <c r="D32" s="88" t="s">
        <v>139</v>
      </c>
      <c r="E32" s="119">
        <v>280</v>
      </c>
      <c r="F32" s="119">
        <f t="shared" si="0"/>
        <v>280</v>
      </c>
      <c r="G32" s="95" t="s">
        <v>95</v>
      </c>
      <c r="H32" s="95" t="s">
        <v>95</v>
      </c>
      <c r="I32" s="100">
        <f t="shared" si="1"/>
        <v>280</v>
      </c>
      <c r="J32" s="67"/>
    </row>
    <row r="33" spans="1:11">
      <c r="A33" s="94"/>
      <c r="B33" s="67" t="s">
        <v>377</v>
      </c>
      <c r="C33" s="91">
        <v>1</v>
      </c>
      <c r="D33" s="88" t="s">
        <v>139</v>
      </c>
      <c r="E33" s="119">
        <v>950</v>
      </c>
      <c r="F33" s="119">
        <f t="shared" si="0"/>
        <v>950</v>
      </c>
      <c r="G33" s="95" t="s">
        <v>95</v>
      </c>
      <c r="H33" s="95" t="s">
        <v>95</v>
      </c>
      <c r="I33" s="100">
        <f t="shared" si="1"/>
        <v>950</v>
      </c>
      <c r="J33" s="67"/>
    </row>
    <row r="34" spans="1:11">
      <c r="A34" s="94"/>
      <c r="B34" s="68" t="s">
        <v>378</v>
      </c>
      <c r="C34" s="88">
        <v>1</v>
      </c>
      <c r="D34" s="88" t="s">
        <v>103</v>
      </c>
      <c r="E34" s="113">
        <v>32000</v>
      </c>
      <c r="F34" s="113">
        <f t="shared" si="0"/>
        <v>32000</v>
      </c>
      <c r="G34" s="95" t="s">
        <v>95</v>
      </c>
      <c r="H34" s="95" t="s">
        <v>95</v>
      </c>
      <c r="I34" s="100">
        <f t="shared" si="1"/>
        <v>32000</v>
      </c>
      <c r="J34" s="67"/>
      <c r="K34" s="64" t="s">
        <v>379</v>
      </c>
    </row>
    <row r="35" spans="1:11">
      <c r="A35" s="94"/>
      <c r="B35" s="67" t="s">
        <v>380</v>
      </c>
      <c r="C35" s="88">
        <v>1</v>
      </c>
      <c r="D35" s="88" t="s">
        <v>139</v>
      </c>
      <c r="E35" s="113">
        <v>2400</v>
      </c>
      <c r="F35" s="113">
        <f t="shared" si="0"/>
        <v>2400</v>
      </c>
      <c r="G35" s="95" t="s">
        <v>95</v>
      </c>
      <c r="H35" s="95" t="s">
        <v>95</v>
      </c>
      <c r="I35" s="100">
        <f t="shared" si="1"/>
        <v>2400</v>
      </c>
      <c r="J35" s="67"/>
    </row>
    <row r="36" spans="1:11">
      <c r="A36" s="94"/>
      <c r="B36" s="67" t="s">
        <v>381</v>
      </c>
      <c r="C36" s="88">
        <v>1</v>
      </c>
      <c r="D36" s="88" t="s">
        <v>139</v>
      </c>
      <c r="E36" s="113">
        <v>1390</v>
      </c>
      <c r="F36" s="113">
        <f t="shared" si="0"/>
        <v>1390</v>
      </c>
      <c r="G36" s="95" t="s">
        <v>95</v>
      </c>
      <c r="H36" s="95" t="s">
        <v>95</v>
      </c>
      <c r="I36" s="100">
        <f t="shared" si="1"/>
        <v>1390</v>
      </c>
      <c r="J36" s="67"/>
    </row>
    <row r="37" spans="1:11">
      <c r="A37" s="94"/>
      <c r="B37" s="67" t="s">
        <v>382</v>
      </c>
      <c r="C37" s="88">
        <v>1</v>
      </c>
      <c r="D37" s="88" t="s">
        <v>19</v>
      </c>
      <c r="E37" s="113">
        <v>1000</v>
      </c>
      <c r="F37" s="113">
        <f t="shared" si="0"/>
        <v>1000</v>
      </c>
      <c r="G37" s="511" t="s">
        <v>133</v>
      </c>
      <c r="H37" s="512"/>
      <c r="I37" s="86">
        <f>SUM(H37+F37)</f>
        <v>1000</v>
      </c>
      <c r="J37" s="67"/>
    </row>
    <row r="38" spans="1:11">
      <c r="A38" s="94"/>
      <c r="B38" s="67" t="s">
        <v>383</v>
      </c>
      <c r="C38" s="88">
        <v>1</v>
      </c>
      <c r="D38" s="88" t="s">
        <v>19</v>
      </c>
      <c r="E38" s="113">
        <v>800</v>
      </c>
      <c r="F38" s="113">
        <f t="shared" si="0"/>
        <v>800</v>
      </c>
      <c r="G38" s="511" t="s">
        <v>133</v>
      </c>
      <c r="H38" s="512"/>
      <c r="I38" s="86">
        <f>SUM(H38+F38)</f>
        <v>800</v>
      </c>
      <c r="J38" s="67"/>
    </row>
    <row r="39" spans="1:11">
      <c r="A39" s="94"/>
      <c r="B39" s="67" t="s">
        <v>384</v>
      </c>
      <c r="C39" s="88">
        <v>1</v>
      </c>
      <c r="D39" s="88" t="s">
        <v>19</v>
      </c>
      <c r="E39" s="113">
        <v>500</v>
      </c>
      <c r="F39" s="113">
        <f t="shared" si="0"/>
        <v>500</v>
      </c>
      <c r="G39" s="511" t="s">
        <v>133</v>
      </c>
      <c r="H39" s="512"/>
      <c r="I39" s="86">
        <f>SUM(H39+F39)</f>
        <v>500</v>
      </c>
      <c r="J39" s="67"/>
    </row>
    <row r="40" spans="1:11">
      <c r="A40" s="94"/>
      <c r="B40" s="452" t="s">
        <v>385</v>
      </c>
      <c r="C40" s="71">
        <v>1</v>
      </c>
      <c r="D40" s="66" t="s">
        <v>19</v>
      </c>
      <c r="E40" s="113">
        <v>1200</v>
      </c>
      <c r="F40" s="113">
        <f>SUM(C40*E40)</f>
        <v>1200</v>
      </c>
      <c r="G40" s="121" t="s">
        <v>95</v>
      </c>
      <c r="H40" s="121" t="s">
        <v>95</v>
      </c>
      <c r="I40" s="390">
        <f>SUM(F40)</f>
        <v>1200</v>
      </c>
      <c r="J40" s="67"/>
      <c r="K40" s="451">
        <f>SUM(C10:C11)</f>
        <v>39</v>
      </c>
    </row>
    <row r="41" spans="1:11">
      <c r="A41" s="94"/>
      <c r="B41" s="452" t="s">
        <v>386</v>
      </c>
      <c r="C41" s="71">
        <v>18</v>
      </c>
      <c r="D41" s="66" t="s">
        <v>94</v>
      </c>
      <c r="E41" s="121" t="s">
        <v>95</v>
      </c>
      <c r="F41" s="121" t="s">
        <v>95</v>
      </c>
      <c r="G41" s="113">
        <v>99</v>
      </c>
      <c r="H41" s="113">
        <f>SUM(G41*C41)</f>
        <v>1782</v>
      </c>
      <c r="I41" s="390">
        <f>SUM(H41)</f>
        <v>1782</v>
      </c>
      <c r="J41" s="67"/>
    </row>
    <row r="42" spans="1:11">
      <c r="A42" s="94"/>
      <c r="B42" s="68" t="s">
        <v>387</v>
      </c>
      <c r="C42" s="71">
        <v>5</v>
      </c>
      <c r="D42" s="66" t="s">
        <v>94</v>
      </c>
      <c r="E42" s="113">
        <v>537</v>
      </c>
      <c r="F42" s="113">
        <f>SUM(C42*E42)</f>
        <v>2685</v>
      </c>
      <c r="G42" s="113">
        <v>91</v>
      </c>
      <c r="H42" s="113">
        <f>SUM(G42*C42)</f>
        <v>455</v>
      </c>
      <c r="I42" s="390">
        <f>SUM(F42+H42)</f>
        <v>3140</v>
      </c>
      <c r="J42" s="67"/>
    </row>
    <row r="43" spans="1:11">
      <c r="A43" s="94"/>
      <c r="B43" s="67"/>
      <c r="C43" s="67"/>
      <c r="D43" s="67"/>
      <c r="E43" s="67"/>
      <c r="F43" s="67"/>
      <c r="G43" s="67"/>
      <c r="H43" s="67"/>
      <c r="I43" s="67"/>
      <c r="J43" s="67"/>
    </row>
    <row r="44" spans="1:11">
      <c r="A44" s="94"/>
      <c r="B44" s="66" t="s">
        <v>18</v>
      </c>
      <c r="C44" s="71"/>
      <c r="D44" s="66"/>
      <c r="E44" s="73"/>
      <c r="F44" s="115">
        <f>SUM(F29:F43)</f>
        <v>61119</v>
      </c>
      <c r="G44" s="436"/>
      <c r="H44" s="115">
        <f>SUM(H29:H43)</f>
        <v>2887</v>
      </c>
      <c r="I44" s="116"/>
      <c r="J44" s="67"/>
      <c r="K44" s="130">
        <f>+H44+F44</f>
        <v>64006</v>
      </c>
    </row>
    <row r="45" spans="1:11">
      <c r="A45" s="94"/>
      <c r="B45" s="114" t="s">
        <v>53</v>
      </c>
      <c r="C45" s="71"/>
      <c r="D45" s="66"/>
      <c r="E45" s="73"/>
      <c r="F45" s="69"/>
      <c r="G45" s="436"/>
      <c r="H45" s="437"/>
      <c r="I45" s="117">
        <f>SUM(I29:I43)</f>
        <v>64006</v>
      </c>
      <c r="J45" s="67"/>
    </row>
    <row r="46" spans="1:11">
      <c r="A46" s="94"/>
      <c r="B46" s="129" t="s">
        <v>388</v>
      </c>
      <c r="C46" s="71"/>
      <c r="D46" s="66"/>
      <c r="E46" s="73"/>
      <c r="F46" s="69"/>
      <c r="G46" s="436"/>
      <c r="H46" s="437"/>
      <c r="I46" s="100"/>
      <c r="J46" s="67"/>
    </row>
    <row r="47" spans="1:11">
      <c r="A47" s="94"/>
      <c r="B47" s="87" t="s">
        <v>389</v>
      </c>
      <c r="C47" s="67"/>
      <c r="D47" s="67"/>
      <c r="E47" s="67"/>
      <c r="F47" s="67"/>
      <c r="G47" s="67"/>
      <c r="H47" s="67"/>
      <c r="I47" s="67"/>
      <c r="J47" s="67"/>
    </row>
    <row r="48" spans="1:11">
      <c r="A48" s="94"/>
      <c r="B48" s="67" t="s">
        <v>390</v>
      </c>
      <c r="C48" s="189">
        <v>149</v>
      </c>
      <c r="D48" s="88" t="s">
        <v>260</v>
      </c>
      <c r="E48" s="113">
        <v>990</v>
      </c>
      <c r="F48" s="113">
        <f>SUM(E48*C48)</f>
        <v>147510</v>
      </c>
      <c r="G48" s="511" t="s">
        <v>133</v>
      </c>
      <c r="H48" s="512"/>
      <c r="I48" s="86">
        <f>SUM(H48+F48)</f>
        <v>147510</v>
      </c>
      <c r="J48" s="67"/>
    </row>
    <row r="49" spans="1:12">
      <c r="A49" s="94"/>
      <c r="B49" s="67" t="s">
        <v>391</v>
      </c>
      <c r="C49" s="189">
        <v>135</v>
      </c>
      <c r="D49" s="88" t="s">
        <v>260</v>
      </c>
      <c r="E49" s="113">
        <v>520</v>
      </c>
      <c r="F49" s="113">
        <f>SUM(E49*C49)</f>
        <v>70200</v>
      </c>
      <c r="G49" s="511" t="s">
        <v>133</v>
      </c>
      <c r="H49" s="512"/>
      <c r="I49" s="86">
        <f>SUM(H49+F49)</f>
        <v>70200</v>
      </c>
      <c r="J49" s="67"/>
    </row>
    <row r="50" spans="1:12">
      <c r="A50" s="94"/>
      <c r="B50" s="67" t="s">
        <v>392</v>
      </c>
      <c r="C50" s="120">
        <v>1</v>
      </c>
      <c r="D50" s="120" t="s">
        <v>19</v>
      </c>
      <c r="E50" s="113">
        <v>25000</v>
      </c>
      <c r="F50" s="113">
        <f>SUM(E50*C50)</f>
        <v>25000</v>
      </c>
      <c r="G50" s="511" t="s">
        <v>133</v>
      </c>
      <c r="H50" s="512"/>
      <c r="I50" s="86">
        <f>SUM(H50+F50)</f>
        <v>25000</v>
      </c>
      <c r="J50" s="67"/>
    </row>
    <row r="51" spans="1:12">
      <c r="A51" s="94"/>
      <c r="B51" s="67" t="s">
        <v>393</v>
      </c>
      <c r="C51" s="67"/>
      <c r="D51" s="67"/>
      <c r="E51" s="67"/>
      <c r="F51" s="67"/>
      <c r="G51" s="67"/>
      <c r="H51" s="67"/>
      <c r="I51" s="67"/>
      <c r="J51" s="67"/>
    </row>
    <row r="52" spans="1:12">
      <c r="A52" s="94"/>
      <c r="B52" s="87" t="s">
        <v>394</v>
      </c>
      <c r="C52" s="67"/>
      <c r="D52" s="67"/>
      <c r="E52" s="67"/>
      <c r="F52" s="67"/>
      <c r="G52" s="67"/>
      <c r="H52" s="67"/>
      <c r="I52" s="67"/>
      <c r="J52" s="67"/>
    </row>
    <row r="53" spans="1:12">
      <c r="A53" s="94"/>
      <c r="B53" s="67" t="s">
        <v>395</v>
      </c>
      <c r="C53" s="67"/>
      <c r="D53" s="67"/>
      <c r="E53" s="67"/>
      <c r="F53" s="67"/>
      <c r="G53" s="67"/>
      <c r="H53" s="67"/>
      <c r="I53" s="67"/>
      <c r="J53" s="67"/>
    </row>
    <row r="54" spans="1:12">
      <c r="A54" s="94"/>
      <c r="B54" s="67" t="s">
        <v>396</v>
      </c>
      <c r="C54" s="189">
        <v>5</v>
      </c>
      <c r="D54" s="88" t="s">
        <v>142</v>
      </c>
      <c r="E54" s="113">
        <v>4510</v>
      </c>
      <c r="F54" s="113">
        <f>SUM(E54*C54)</f>
        <v>22550</v>
      </c>
      <c r="G54" s="511" t="s">
        <v>133</v>
      </c>
      <c r="H54" s="512"/>
      <c r="I54" s="86">
        <f>SUM(H54+F54)</f>
        <v>22550</v>
      </c>
      <c r="J54" s="67"/>
    </row>
    <row r="55" spans="1:12">
      <c r="A55" s="94"/>
      <c r="B55" s="67" t="s">
        <v>362</v>
      </c>
      <c r="C55" s="189">
        <v>31</v>
      </c>
      <c r="D55" s="88" t="s">
        <v>94</v>
      </c>
      <c r="E55" s="121" t="s">
        <v>95</v>
      </c>
      <c r="F55" s="121" t="s">
        <v>95</v>
      </c>
      <c r="G55" s="113">
        <v>99</v>
      </c>
      <c r="H55" s="113">
        <f>SUM(G55*C55)</f>
        <v>3069</v>
      </c>
      <c r="I55" s="86">
        <f>SUM(H55)</f>
        <v>3069</v>
      </c>
      <c r="J55" s="67"/>
    </row>
    <row r="56" spans="1:12">
      <c r="A56" s="94"/>
      <c r="B56" s="67" t="s">
        <v>363</v>
      </c>
      <c r="C56" s="189">
        <v>8</v>
      </c>
      <c r="D56" s="88" t="s">
        <v>94</v>
      </c>
      <c r="E56" s="113">
        <v>537</v>
      </c>
      <c r="F56" s="113">
        <f>SUM(E56*C56)</f>
        <v>4296</v>
      </c>
      <c r="G56" s="113">
        <v>91</v>
      </c>
      <c r="H56" s="113">
        <f>SUM(G56*C56)</f>
        <v>728</v>
      </c>
      <c r="I56" s="86">
        <f>SUM(H56+F56)</f>
        <v>5024</v>
      </c>
      <c r="J56" s="67"/>
    </row>
    <row r="57" spans="1:12">
      <c r="A57" s="94"/>
      <c r="B57" s="67"/>
      <c r="C57" s="189"/>
      <c r="D57" s="88"/>
      <c r="E57" s="113"/>
      <c r="F57" s="113"/>
      <c r="G57" s="113"/>
      <c r="H57" s="113"/>
      <c r="I57" s="86"/>
      <c r="J57" s="67"/>
    </row>
    <row r="58" spans="1:12">
      <c r="A58" s="94"/>
      <c r="B58" s="67"/>
      <c r="C58" s="67"/>
      <c r="D58" s="67"/>
      <c r="E58" s="67"/>
      <c r="F58" s="67"/>
      <c r="G58" s="67"/>
      <c r="H58" s="67"/>
      <c r="I58" s="67"/>
      <c r="J58" s="67"/>
    </row>
    <row r="59" spans="1:12">
      <c r="A59" s="94"/>
      <c r="B59" s="67"/>
      <c r="C59" s="67"/>
      <c r="D59" s="67"/>
      <c r="E59" s="67"/>
      <c r="F59" s="67"/>
      <c r="G59" s="67"/>
      <c r="H59" s="67"/>
      <c r="I59" s="67"/>
      <c r="J59" s="67"/>
    </row>
    <row r="60" spans="1:12">
      <c r="A60" s="94"/>
      <c r="B60" s="67"/>
      <c r="C60" s="67"/>
      <c r="D60" s="67"/>
      <c r="E60" s="67"/>
      <c r="F60" s="67"/>
      <c r="G60" s="67"/>
      <c r="H60" s="67"/>
      <c r="I60" s="67"/>
      <c r="J60" s="67"/>
    </row>
    <row r="61" spans="1:12">
      <c r="A61" s="94"/>
      <c r="B61" s="67"/>
      <c r="C61" s="189"/>
      <c r="D61" s="88"/>
      <c r="E61" s="113"/>
      <c r="F61" s="113"/>
      <c r="G61" s="67"/>
      <c r="H61" s="67"/>
      <c r="I61" s="86"/>
      <c r="J61" s="67"/>
    </row>
    <row r="62" spans="1:12">
      <c r="A62" s="94"/>
      <c r="B62" s="67"/>
      <c r="C62" s="67"/>
      <c r="D62" s="67"/>
      <c r="E62" s="67"/>
      <c r="F62" s="67"/>
      <c r="G62" s="67"/>
      <c r="H62" s="67"/>
      <c r="I62" s="67"/>
      <c r="J62" s="67"/>
    </row>
    <row r="63" spans="1:12">
      <c r="A63" s="94"/>
      <c r="B63" s="66" t="s">
        <v>18</v>
      </c>
      <c r="C63" s="71"/>
      <c r="D63" s="66"/>
      <c r="E63" s="73"/>
      <c r="F63" s="115">
        <f>SUM(F48:F62)</f>
        <v>269556</v>
      </c>
      <c r="G63" s="436"/>
      <c r="H63" s="115">
        <f>SUM(H48:H62)</f>
        <v>3797</v>
      </c>
      <c r="I63" s="116"/>
      <c r="J63" s="67"/>
      <c r="K63" s="422">
        <f>+H63+F63</f>
        <v>273353</v>
      </c>
      <c r="L63" s="64"/>
    </row>
    <row r="64" spans="1:12">
      <c r="A64" s="94"/>
      <c r="B64" s="114" t="s">
        <v>53</v>
      </c>
      <c r="C64" s="71"/>
      <c r="D64" s="66"/>
      <c r="E64" s="73"/>
      <c r="F64" s="69"/>
      <c r="G64" s="436"/>
      <c r="H64" s="437"/>
      <c r="I64" s="117">
        <f>SUM(I48:I62)</f>
        <v>273353</v>
      </c>
      <c r="J64" s="67"/>
      <c r="K64" s="72">
        <f>+I64+I45+I26</f>
        <v>529707.72</v>
      </c>
      <c r="L64" s="174" t="s">
        <v>397</v>
      </c>
    </row>
    <row r="65" spans="1:12" s="70" customFormat="1">
      <c r="A65" s="132"/>
      <c r="B65" s="129"/>
      <c r="C65" s="109"/>
      <c r="D65" s="65"/>
      <c r="E65" s="110"/>
      <c r="F65" s="110"/>
      <c r="G65" s="110"/>
      <c r="H65" s="435"/>
      <c r="I65" s="111"/>
      <c r="J65" s="65"/>
      <c r="K65" s="64"/>
      <c r="L65" s="182"/>
    </row>
    <row r="66" spans="1:12">
      <c r="A66" s="94"/>
      <c r="B66" s="87"/>
      <c r="C66" s="67"/>
      <c r="D66" s="67"/>
      <c r="E66" s="67"/>
      <c r="F66" s="67"/>
      <c r="G66" s="67"/>
      <c r="H66" s="67"/>
      <c r="I66" s="67"/>
      <c r="J66" s="67"/>
    </row>
    <row r="67" spans="1:12">
      <c r="A67" s="88"/>
      <c r="B67" s="67"/>
      <c r="C67" s="88"/>
      <c r="D67" s="88"/>
      <c r="E67" s="89"/>
      <c r="F67" s="89"/>
      <c r="G67" s="95"/>
      <c r="H67" s="95"/>
      <c r="I67" s="86"/>
      <c r="J67" s="67"/>
    </row>
    <row r="68" spans="1:12">
      <c r="A68" s="88"/>
      <c r="B68" s="67"/>
      <c r="C68" s="88"/>
      <c r="D68" s="88"/>
      <c r="E68" s="89"/>
      <c r="F68" s="89"/>
      <c r="G68" s="95"/>
      <c r="H68" s="95"/>
      <c r="I68" s="86"/>
      <c r="J68" s="67"/>
    </row>
    <row r="69" spans="1:12">
      <c r="A69" s="94"/>
      <c r="B69" s="67"/>
      <c r="C69" s="88"/>
      <c r="D69" s="88"/>
      <c r="E69" s="89"/>
      <c r="F69" s="89"/>
      <c r="G69" s="95"/>
      <c r="H69" s="95"/>
      <c r="I69" s="86"/>
      <c r="J69" s="67"/>
    </row>
    <row r="70" spans="1:12">
      <c r="A70" s="94"/>
      <c r="B70" s="67"/>
      <c r="C70" s="88"/>
      <c r="D70" s="88"/>
      <c r="E70" s="89"/>
      <c r="F70" s="89"/>
      <c r="G70" s="95"/>
      <c r="H70" s="95"/>
      <c r="I70" s="86"/>
      <c r="J70" s="67"/>
      <c r="K70" s="185"/>
    </row>
    <row r="71" spans="1:12">
      <c r="A71" s="114"/>
      <c r="B71" s="68"/>
      <c r="C71" s="88"/>
      <c r="D71" s="88"/>
      <c r="E71" s="113"/>
      <c r="F71" s="113"/>
      <c r="G71" s="113"/>
      <c r="H71" s="113"/>
      <c r="I71" s="86"/>
      <c r="J71" s="67"/>
      <c r="K71" s="131"/>
    </row>
    <row r="72" spans="1:12">
      <c r="A72" s="114"/>
      <c r="B72" s="68"/>
      <c r="C72" s="88"/>
      <c r="D72" s="88"/>
      <c r="E72" s="113"/>
      <c r="F72" s="113"/>
      <c r="G72" s="113"/>
      <c r="H72" s="113"/>
      <c r="I72" s="86"/>
      <c r="J72" s="67"/>
      <c r="K72" s="131"/>
    </row>
    <row r="73" spans="1:12">
      <c r="A73" s="94"/>
      <c r="B73" s="67"/>
      <c r="C73" s="88"/>
      <c r="D73" s="88"/>
      <c r="E73" s="95"/>
      <c r="F73" s="95"/>
      <c r="G73" s="119"/>
      <c r="H73" s="119"/>
      <c r="I73" s="100"/>
      <c r="J73" s="67"/>
    </row>
    <row r="74" spans="1:12">
      <c r="A74" s="94"/>
      <c r="B74" s="67"/>
      <c r="C74" s="88"/>
      <c r="D74" s="88"/>
      <c r="E74" s="113"/>
      <c r="F74" s="113"/>
      <c r="G74" s="113"/>
      <c r="H74" s="113"/>
      <c r="I74" s="86"/>
      <c r="J74" s="67"/>
    </row>
    <row r="75" spans="1:12">
      <c r="A75" s="114"/>
      <c r="B75" s="87"/>
      <c r="C75" s="91"/>
      <c r="D75" s="88"/>
      <c r="E75" s="119"/>
      <c r="F75" s="119"/>
      <c r="G75" s="119"/>
      <c r="H75" s="119"/>
      <c r="I75" s="100"/>
      <c r="J75" s="67"/>
      <c r="K75" s="70"/>
    </row>
    <row r="76" spans="1:12">
      <c r="A76" s="120"/>
      <c r="B76" s="133"/>
      <c r="C76" s="120"/>
      <c r="D76" s="77"/>
      <c r="E76" s="119"/>
      <c r="F76" s="119"/>
      <c r="G76" s="119"/>
      <c r="H76" s="119"/>
      <c r="I76" s="125"/>
      <c r="J76" s="103"/>
      <c r="K76" s="457"/>
    </row>
    <row r="77" spans="1:12">
      <c r="A77" s="114"/>
      <c r="B77" s="67"/>
      <c r="C77" s="118"/>
      <c r="D77" s="88"/>
      <c r="E77" s="119"/>
      <c r="F77" s="119"/>
      <c r="G77" s="119"/>
      <c r="H77" s="119"/>
      <c r="I77" s="100"/>
      <c r="J77" s="67"/>
      <c r="K77" s="70"/>
    </row>
    <row r="78" spans="1:12" s="70" customFormat="1">
      <c r="A78" s="114"/>
      <c r="B78" s="87"/>
      <c r="C78" s="118"/>
      <c r="D78" s="88"/>
      <c r="E78" s="119"/>
      <c r="F78" s="119"/>
      <c r="G78" s="119"/>
      <c r="H78" s="119"/>
      <c r="I78" s="100"/>
      <c r="J78" s="67"/>
      <c r="L78" s="182"/>
    </row>
    <row r="79" spans="1:12" s="70" customFormat="1">
      <c r="A79" s="114"/>
      <c r="B79" s="67"/>
      <c r="C79" s="91"/>
      <c r="D79" s="88"/>
      <c r="E79" s="119"/>
      <c r="F79" s="119"/>
      <c r="G79" s="95"/>
      <c r="H79" s="95"/>
      <c r="I79" s="86"/>
      <c r="J79" s="67"/>
      <c r="L79" s="182"/>
    </row>
    <row r="80" spans="1:12">
      <c r="A80" s="94"/>
      <c r="B80" s="67"/>
      <c r="C80" s="88"/>
      <c r="D80" s="88"/>
      <c r="E80" s="89"/>
      <c r="F80" s="89"/>
      <c r="G80" s="95"/>
      <c r="H80" s="95"/>
      <c r="I80" s="86"/>
      <c r="J80" s="67"/>
      <c r="K80" s="130"/>
    </row>
    <row r="81" spans="1:11">
      <c r="A81" s="94"/>
      <c r="B81" s="67"/>
      <c r="C81" s="88"/>
      <c r="D81" s="88"/>
      <c r="E81" s="89"/>
      <c r="F81" s="89"/>
      <c r="G81" s="95"/>
      <c r="H81" s="95"/>
      <c r="I81" s="86"/>
      <c r="J81" s="67"/>
      <c r="K81" s="130"/>
    </row>
    <row r="82" spans="1:11">
      <c r="A82" s="123"/>
      <c r="B82" s="66" t="s">
        <v>18</v>
      </c>
      <c r="C82" s="71"/>
      <c r="D82" s="66"/>
      <c r="E82" s="73"/>
      <c r="F82" s="115">
        <f>SUM(F66:F79)</f>
        <v>0</v>
      </c>
      <c r="G82" s="436"/>
      <c r="H82" s="115">
        <f>SUM(H67:H80)</f>
        <v>0</v>
      </c>
      <c r="I82" s="116"/>
      <c r="J82" s="67"/>
      <c r="K82" s="72">
        <f>SUM(H82+F82)</f>
        <v>0</v>
      </c>
    </row>
    <row r="83" spans="1:11">
      <c r="A83" s="123"/>
      <c r="B83" s="114" t="s">
        <v>53</v>
      </c>
      <c r="C83" s="71"/>
      <c r="D83" s="66"/>
      <c r="E83" s="73"/>
      <c r="F83" s="69"/>
      <c r="G83" s="436"/>
      <c r="H83" s="437"/>
      <c r="I83" s="117">
        <f>SUM(I67:I82)</f>
        <v>0</v>
      </c>
      <c r="J83" s="67"/>
      <c r="K83" s="72"/>
    </row>
    <row r="84" spans="1:11">
      <c r="A84" s="94"/>
      <c r="B84" s="129"/>
      <c r="C84" s="67"/>
      <c r="D84" s="67"/>
      <c r="E84" s="67"/>
      <c r="F84" s="67"/>
      <c r="G84" s="67"/>
      <c r="H84" s="67"/>
      <c r="I84" s="67"/>
      <c r="J84" s="67"/>
    </row>
    <row r="85" spans="1:11">
      <c r="A85" s="114"/>
      <c r="B85" s="67"/>
      <c r="C85" s="118"/>
      <c r="D85" s="88"/>
      <c r="E85" s="119"/>
      <c r="F85" s="119"/>
      <c r="G85" s="121"/>
      <c r="H85" s="121"/>
      <c r="I85" s="86"/>
      <c r="J85" s="67"/>
      <c r="K85" s="458"/>
    </row>
    <row r="86" spans="1:11">
      <c r="A86" s="114"/>
      <c r="B86" s="67"/>
      <c r="C86" s="118"/>
      <c r="D86" s="122"/>
      <c r="E86" s="119"/>
      <c r="F86" s="119"/>
      <c r="G86" s="511"/>
      <c r="H86" s="512"/>
      <c r="I86" s="86"/>
      <c r="J86" s="67"/>
      <c r="K86" s="458"/>
    </row>
    <row r="87" spans="1:11">
      <c r="A87" s="120"/>
      <c r="B87" s="133"/>
      <c r="C87" s="120"/>
      <c r="D87" s="77"/>
      <c r="E87" s="119"/>
      <c r="F87" s="119"/>
      <c r="G87" s="119"/>
      <c r="H87" s="119"/>
      <c r="I87" s="125"/>
      <c r="J87" s="103"/>
      <c r="K87" s="457"/>
    </row>
    <row r="88" spans="1:11">
      <c r="A88" s="114"/>
      <c r="B88" s="67"/>
      <c r="C88" s="118"/>
      <c r="D88" s="88"/>
      <c r="E88" s="119"/>
      <c r="F88" s="119"/>
      <c r="G88" s="119"/>
      <c r="H88" s="119"/>
      <c r="I88" s="100"/>
      <c r="J88" s="67"/>
      <c r="K88" s="70"/>
    </row>
    <row r="89" spans="1:11">
      <c r="A89" s="120"/>
      <c r="B89" s="133"/>
      <c r="C89" s="120"/>
      <c r="D89" s="77"/>
      <c r="E89" s="119"/>
      <c r="F89" s="119"/>
      <c r="G89" s="119"/>
      <c r="H89" s="119"/>
      <c r="I89" s="125"/>
      <c r="J89" s="103"/>
      <c r="K89" s="457"/>
    </row>
    <row r="90" spans="1:11">
      <c r="A90" s="114"/>
      <c r="B90" s="67"/>
      <c r="C90" s="118"/>
      <c r="D90" s="88"/>
      <c r="E90" s="119"/>
      <c r="F90" s="119"/>
      <c r="G90" s="119"/>
      <c r="H90" s="119"/>
      <c r="I90" s="100"/>
      <c r="J90" s="67"/>
      <c r="K90" s="70"/>
    </row>
    <row r="91" spans="1:11">
      <c r="A91" s="120"/>
      <c r="B91" s="133"/>
      <c r="C91" s="120"/>
      <c r="D91" s="77"/>
      <c r="E91" s="119"/>
      <c r="F91" s="119"/>
      <c r="G91" s="119"/>
      <c r="H91" s="119"/>
      <c r="I91" s="125"/>
      <c r="J91" s="103"/>
      <c r="K91" s="457"/>
    </row>
    <row r="92" spans="1:11">
      <c r="A92" s="114"/>
      <c r="B92" s="67"/>
      <c r="C92" s="118"/>
      <c r="D92" s="88"/>
      <c r="E92" s="119"/>
      <c r="F92" s="119"/>
      <c r="G92" s="119"/>
      <c r="H92" s="119"/>
      <c r="I92" s="100"/>
      <c r="J92" s="67"/>
      <c r="K92" s="70"/>
    </row>
    <row r="93" spans="1:11">
      <c r="A93" s="114"/>
      <c r="B93" s="67"/>
      <c r="C93" s="118"/>
      <c r="D93" s="88"/>
      <c r="E93" s="119"/>
      <c r="F93" s="119"/>
      <c r="G93" s="121"/>
      <c r="H93" s="121"/>
      <c r="I93" s="86"/>
      <c r="J93" s="67"/>
      <c r="K93" s="458"/>
    </row>
    <row r="94" spans="1:11">
      <c r="A94" s="114"/>
      <c r="B94" s="67"/>
      <c r="C94" s="118"/>
      <c r="D94" s="122"/>
      <c r="E94" s="119"/>
      <c r="F94" s="119"/>
      <c r="G94" s="511"/>
      <c r="H94" s="512"/>
      <c r="I94" s="86"/>
      <c r="J94" s="67"/>
      <c r="K94" s="458"/>
    </row>
    <row r="95" spans="1:11">
      <c r="A95" s="120"/>
      <c r="B95" s="133"/>
      <c r="C95" s="120"/>
      <c r="D95" s="77"/>
      <c r="E95" s="119"/>
      <c r="F95" s="119"/>
      <c r="G95" s="119"/>
      <c r="H95" s="119"/>
      <c r="I95" s="125"/>
      <c r="J95" s="103"/>
      <c r="K95" s="457"/>
    </row>
    <row r="96" spans="1:11">
      <c r="A96" s="114"/>
      <c r="B96" s="67"/>
      <c r="C96" s="118"/>
      <c r="D96" s="88"/>
      <c r="E96" s="119"/>
      <c r="F96" s="119"/>
      <c r="G96" s="119"/>
      <c r="H96" s="119"/>
      <c r="I96" s="100"/>
      <c r="J96" s="67"/>
      <c r="K96" s="70"/>
    </row>
    <row r="97" spans="1:11">
      <c r="A97" s="114"/>
      <c r="B97" s="67"/>
      <c r="C97" s="118"/>
      <c r="D97" s="88"/>
      <c r="E97" s="119"/>
      <c r="F97" s="119"/>
      <c r="G97" s="119"/>
      <c r="H97" s="119"/>
      <c r="I97" s="100"/>
      <c r="J97" s="67"/>
      <c r="K97" s="70"/>
    </row>
    <row r="98" spans="1:11">
      <c r="A98" s="114"/>
      <c r="B98" s="67"/>
      <c r="C98" s="88"/>
      <c r="D98" s="88"/>
      <c r="E98" s="113"/>
      <c r="F98" s="113"/>
      <c r="G98" s="113"/>
      <c r="H98" s="113"/>
      <c r="I98" s="86"/>
      <c r="J98" s="67"/>
      <c r="K98" s="70"/>
    </row>
    <row r="99" spans="1:11">
      <c r="A99" s="94"/>
      <c r="B99" s="67"/>
      <c r="C99" s="88"/>
      <c r="D99" s="88"/>
      <c r="E99" s="89"/>
      <c r="F99" s="89"/>
      <c r="G99" s="95"/>
      <c r="H99" s="95"/>
      <c r="I99" s="86"/>
      <c r="J99" s="67"/>
      <c r="K99" s="130"/>
    </row>
    <row r="100" spans="1:11">
      <c r="A100" s="94"/>
      <c r="B100" s="67"/>
      <c r="C100" s="88"/>
      <c r="D100" s="88"/>
      <c r="E100" s="89"/>
      <c r="F100" s="89"/>
      <c r="G100" s="95"/>
      <c r="H100" s="95"/>
      <c r="I100" s="86"/>
      <c r="J100" s="67"/>
      <c r="K100" s="130"/>
    </row>
    <row r="101" spans="1:11">
      <c r="A101" s="123"/>
      <c r="B101" s="66" t="s">
        <v>18</v>
      </c>
      <c r="C101" s="71"/>
      <c r="D101" s="66"/>
      <c r="E101" s="73"/>
      <c r="F101" s="115">
        <f>SUM(F85:F100)</f>
        <v>0</v>
      </c>
      <c r="G101" s="436"/>
      <c r="H101" s="115">
        <f>SUM(H85:H100)</f>
        <v>0</v>
      </c>
      <c r="I101" s="116"/>
      <c r="J101" s="67"/>
      <c r="K101" s="72">
        <f>SUM(H101+F101)</f>
        <v>0</v>
      </c>
    </row>
    <row r="102" spans="1:11">
      <c r="A102" s="123"/>
      <c r="B102" s="114" t="s">
        <v>53</v>
      </c>
      <c r="C102" s="71"/>
      <c r="D102" s="66"/>
      <c r="E102" s="73"/>
      <c r="F102" s="69"/>
      <c r="G102" s="436"/>
      <c r="H102" s="437"/>
      <c r="I102" s="117">
        <f>SUM(I85:I101)</f>
        <v>0</v>
      </c>
      <c r="J102" s="67"/>
      <c r="K102" s="72"/>
    </row>
    <row r="103" spans="1:11">
      <c r="A103" s="94"/>
      <c r="B103" s="129"/>
      <c r="C103" s="67"/>
      <c r="D103" s="67"/>
      <c r="E103" s="67"/>
      <c r="F103" s="67"/>
      <c r="G103" s="67"/>
      <c r="H103" s="67"/>
      <c r="I103" s="67"/>
      <c r="J103" s="67"/>
    </row>
    <row r="104" spans="1:11">
      <c r="A104" s="120"/>
      <c r="B104" s="103"/>
      <c r="C104" s="120"/>
      <c r="D104" s="77"/>
      <c r="E104" s="119"/>
      <c r="F104" s="119"/>
      <c r="G104" s="511"/>
      <c r="H104" s="512"/>
      <c r="I104" s="86"/>
      <c r="J104" s="103"/>
      <c r="K104" s="457"/>
    </row>
    <row r="105" spans="1:11">
      <c r="A105" s="120"/>
      <c r="B105" s="133"/>
      <c r="C105" s="120"/>
      <c r="D105" s="77"/>
      <c r="E105" s="119"/>
      <c r="F105" s="119"/>
      <c r="G105" s="119"/>
      <c r="H105" s="119"/>
      <c r="I105" s="125"/>
      <c r="J105" s="103"/>
      <c r="K105" s="457"/>
    </row>
    <row r="106" spans="1:11">
      <c r="A106" s="114"/>
      <c r="B106" s="67"/>
      <c r="C106" s="118"/>
      <c r="D106" s="88"/>
      <c r="E106" s="119"/>
      <c r="F106" s="119"/>
      <c r="G106" s="119"/>
      <c r="H106" s="119"/>
      <c r="I106" s="100"/>
      <c r="J106" s="67"/>
      <c r="K106" s="70"/>
    </row>
    <row r="107" spans="1:11">
      <c r="A107" s="120"/>
      <c r="B107" s="133"/>
      <c r="C107" s="120"/>
      <c r="D107" s="77"/>
      <c r="E107" s="119"/>
      <c r="F107" s="119"/>
      <c r="G107" s="119"/>
      <c r="H107" s="119"/>
      <c r="I107" s="125"/>
      <c r="J107" s="103"/>
      <c r="K107" s="457"/>
    </row>
    <row r="108" spans="1:11">
      <c r="A108" s="114"/>
      <c r="B108" s="67"/>
      <c r="C108" s="118"/>
      <c r="D108" s="88"/>
      <c r="E108" s="119"/>
      <c r="F108" s="119"/>
      <c r="G108" s="119"/>
      <c r="H108" s="119"/>
      <c r="I108" s="100"/>
      <c r="J108" s="67"/>
      <c r="K108" s="70"/>
    </row>
    <row r="109" spans="1:11">
      <c r="A109" s="114"/>
      <c r="B109" s="87"/>
      <c r="C109" s="118"/>
      <c r="D109" s="88"/>
      <c r="E109" s="119"/>
      <c r="F109" s="119"/>
      <c r="G109" s="119"/>
      <c r="H109" s="119"/>
      <c r="I109" s="100"/>
      <c r="J109" s="67"/>
      <c r="K109" s="70"/>
    </row>
    <row r="110" spans="1:11">
      <c r="A110" s="114"/>
      <c r="B110" s="67"/>
      <c r="C110" s="118"/>
      <c r="D110" s="88"/>
      <c r="E110" s="119"/>
      <c r="F110" s="119"/>
      <c r="G110" s="121"/>
      <c r="H110" s="121"/>
      <c r="I110" s="100"/>
      <c r="J110" s="67"/>
      <c r="K110" s="70"/>
    </row>
    <row r="111" spans="1:11">
      <c r="A111" s="120"/>
      <c r="B111" s="133"/>
      <c r="C111" s="120"/>
      <c r="D111" s="77"/>
      <c r="E111" s="119"/>
      <c r="F111" s="119"/>
      <c r="G111" s="119"/>
      <c r="H111" s="119"/>
      <c r="I111" s="125"/>
      <c r="J111" s="103"/>
      <c r="K111" s="457"/>
    </row>
    <row r="112" spans="1:11">
      <c r="A112" s="114"/>
      <c r="B112" s="67"/>
      <c r="C112" s="118"/>
      <c r="D112" s="88"/>
      <c r="E112" s="119"/>
      <c r="F112" s="119"/>
      <c r="G112" s="121"/>
      <c r="H112" s="121"/>
      <c r="I112" s="86"/>
      <c r="J112" s="67"/>
      <c r="K112" s="70"/>
    </row>
    <row r="113" spans="1:11">
      <c r="A113" s="114"/>
      <c r="B113" s="67"/>
      <c r="C113" s="118"/>
      <c r="D113" s="88"/>
      <c r="E113" s="119"/>
      <c r="F113" s="119"/>
      <c r="G113" s="119"/>
      <c r="H113" s="119"/>
      <c r="I113" s="100"/>
      <c r="J113" s="67"/>
      <c r="K113" s="70"/>
    </row>
    <row r="114" spans="1:11">
      <c r="A114" s="94"/>
      <c r="B114" s="67"/>
      <c r="C114" s="67"/>
      <c r="D114" s="88"/>
      <c r="E114" s="95"/>
      <c r="F114" s="95"/>
      <c r="G114" s="119"/>
      <c r="H114" s="119"/>
      <c r="I114" s="100"/>
      <c r="J114" s="67"/>
    </row>
    <row r="115" spans="1:11">
      <c r="A115" s="94"/>
      <c r="B115" s="67"/>
      <c r="C115" s="67"/>
      <c r="D115" s="88"/>
      <c r="E115" s="113"/>
      <c r="F115" s="113"/>
      <c r="G115" s="113"/>
      <c r="H115" s="113"/>
      <c r="I115" s="86"/>
      <c r="J115" s="67"/>
    </row>
    <row r="116" spans="1:11">
      <c r="A116" s="94"/>
      <c r="B116" s="67"/>
      <c r="C116" s="67"/>
      <c r="D116" s="122"/>
      <c r="E116" s="113"/>
      <c r="F116" s="113"/>
      <c r="G116" s="113"/>
      <c r="H116" s="113"/>
      <c r="I116" s="93"/>
      <c r="J116" s="67"/>
    </row>
    <row r="117" spans="1:11">
      <c r="A117" s="120"/>
      <c r="B117" s="133"/>
      <c r="C117" s="120"/>
      <c r="D117" s="77"/>
      <c r="E117" s="119"/>
      <c r="F117" s="119"/>
      <c r="G117" s="119"/>
      <c r="H117" s="119"/>
      <c r="I117" s="125"/>
      <c r="J117" s="103"/>
      <c r="K117" s="457"/>
    </row>
    <row r="118" spans="1:11">
      <c r="A118" s="114"/>
      <c r="B118" s="67"/>
      <c r="C118" s="118"/>
      <c r="D118" s="88"/>
      <c r="E118" s="119"/>
      <c r="F118" s="119"/>
      <c r="G118" s="119"/>
      <c r="H118" s="119"/>
      <c r="I118" s="100"/>
      <c r="J118" s="67"/>
      <c r="K118" s="70"/>
    </row>
    <row r="119" spans="1:11">
      <c r="A119" s="123"/>
      <c r="B119" s="67"/>
      <c r="C119" s="118"/>
      <c r="D119" s="88"/>
      <c r="E119" s="119"/>
      <c r="F119" s="119"/>
      <c r="G119" s="124"/>
      <c r="H119" s="119"/>
      <c r="I119" s="100"/>
      <c r="J119" s="67"/>
      <c r="K119" s="70"/>
    </row>
    <row r="120" spans="1:11">
      <c r="A120" s="123"/>
      <c r="B120" s="66" t="s">
        <v>18</v>
      </c>
      <c r="C120" s="71"/>
      <c r="D120" s="66"/>
      <c r="E120" s="73"/>
      <c r="F120" s="115">
        <f>SUM(F104:F118)</f>
        <v>0</v>
      </c>
      <c r="G120" s="436"/>
      <c r="H120" s="115">
        <f>SUM(H104:H118)</f>
        <v>0</v>
      </c>
      <c r="I120" s="116"/>
      <c r="J120" s="67"/>
      <c r="K120" s="72">
        <f>+H120+F120</f>
        <v>0</v>
      </c>
    </row>
    <row r="121" spans="1:11">
      <c r="A121" s="123"/>
      <c r="B121" s="114" t="s">
        <v>53</v>
      </c>
      <c r="C121" s="71"/>
      <c r="D121" s="66"/>
      <c r="E121" s="73"/>
      <c r="F121" s="69"/>
      <c r="G121" s="436"/>
      <c r="H121" s="437"/>
      <c r="I121" s="117">
        <f>SUM(I104:I120)</f>
        <v>0</v>
      </c>
      <c r="J121" s="67"/>
      <c r="K121" s="72"/>
    </row>
    <row r="122" spans="1:11">
      <c r="A122" s="94"/>
      <c r="B122" s="129"/>
      <c r="C122" s="67"/>
      <c r="D122" s="67"/>
      <c r="E122" s="67"/>
      <c r="F122" s="67"/>
      <c r="G122" s="67"/>
      <c r="H122" s="67"/>
      <c r="I122" s="67"/>
      <c r="J122" s="67"/>
    </row>
    <row r="123" spans="1:11">
      <c r="A123" s="94"/>
      <c r="B123" s="102"/>
      <c r="C123" s="88"/>
      <c r="D123" s="88"/>
      <c r="E123" s="67"/>
      <c r="F123" s="119"/>
      <c r="G123" s="121"/>
      <c r="H123" s="121"/>
      <c r="I123" s="86"/>
      <c r="J123" s="67"/>
    </row>
    <row r="124" spans="1:11">
      <c r="A124" s="88"/>
      <c r="B124" s="67"/>
      <c r="C124" s="88"/>
      <c r="D124" s="88"/>
      <c r="E124" s="89"/>
      <c r="F124" s="89"/>
      <c r="G124" s="67"/>
      <c r="H124" s="67"/>
      <c r="I124" s="99"/>
      <c r="J124" s="67"/>
    </row>
    <row r="125" spans="1:11">
      <c r="A125" s="88"/>
      <c r="B125" s="67"/>
      <c r="C125" s="88"/>
      <c r="D125" s="88"/>
      <c r="E125" s="89"/>
      <c r="F125" s="89"/>
      <c r="G125" s="89"/>
      <c r="H125" s="89"/>
      <c r="I125" s="86"/>
      <c r="J125" s="67"/>
    </row>
    <row r="126" spans="1:11">
      <c r="A126" s="67"/>
      <c r="B126" s="67"/>
      <c r="C126" s="91"/>
      <c r="D126" s="88"/>
      <c r="E126" s="99"/>
      <c r="F126" s="99"/>
      <c r="G126" s="99"/>
      <c r="H126" s="99"/>
      <c r="I126" s="100"/>
      <c r="J126" s="67"/>
    </row>
    <row r="127" spans="1:11">
      <c r="A127" s="67"/>
      <c r="B127" s="67"/>
      <c r="C127" s="91"/>
      <c r="D127" s="122"/>
      <c r="E127" s="99"/>
      <c r="F127" s="99"/>
      <c r="G127" s="99"/>
      <c r="H127" s="99"/>
      <c r="I127" s="125"/>
      <c r="J127" s="67"/>
    </row>
    <row r="128" spans="1:11">
      <c r="A128" s="67"/>
      <c r="B128" s="67"/>
      <c r="C128" s="91"/>
      <c r="D128" s="122"/>
      <c r="E128" s="99"/>
      <c r="F128" s="99"/>
      <c r="G128" s="99"/>
      <c r="H128" s="99"/>
      <c r="I128" s="125"/>
      <c r="J128" s="67"/>
    </row>
    <row r="129" spans="1:11">
      <c r="A129" s="67"/>
      <c r="B129" s="67"/>
      <c r="C129" s="91"/>
      <c r="D129" s="122"/>
      <c r="E129" s="99"/>
      <c r="F129" s="99"/>
      <c r="G129" s="99"/>
      <c r="H129" s="99"/>
      <c r="I129" s="99"/>
      <c r="J129" s="67"/>
    </row>
    <row r="130" spans="1:11">
      <c r="A130" s="67"/>
      <c r="B130" s="67"/>
      <c r="C130" s="91"/>
      <c r="D130" s="122"/>
      <c r="E130" s="113"/>
      <c r="F130" s="113"/>
      <c r="G130" s="113"/>
      <c r="H130" s="99"/>
      <c r="I130" s="99"/>
      <c r="J130" s="67"/>
    </row>
    <row r="131" spans="1:11">
      <c r="A131" s="120"/>
      <c r="B131" s="103"/>
      <c r="C131" s="120"/>
      <c r="D131" s="77"/>
      <c r="E131" s="119"/>
      <c r="F131" s="119"/>
      <c r="G131" s="119"/>
      <c r="H131" s="119"/>
      <c r="I131" s="125"/>
      <c r="J131" s="103"/>
      <c r="K131" s="457"/>
    </row>
    <row r="132" spans="1:11">
      <c r="A132" s="120"/>
      <c r="B132" s="103"/>
      <c r="C132" s="120"/>
      <c r="D132" s="77"/>
      <c r="E132" s="119"/>
      <c r="F132" s="119"/>
      <c r="G132" s="119"/>
      <c r="H132" s="119"/>
      <c r="I132" s="125"/>
      <c r="J132" s="103"/>
      <c r="K132" s="457"/>
    </row>
    <row r="133" spans="1:11">
      <c r="A133" s="114"/>
      <c r="B133" s="87"/>
      <c r="C133" s="118"/>
      <c r="D133" s="88"/>
      <c r="E133" s="119"/>
      <c r="F133" s="119"/>
      <c r="G133" s="119"/>
      <c r="H133" s="119"/>
      <c r="I133" s="125"/>
      <c r="J133" s="67"/>
      <c r="K133" s="70"/>
    </row>
    <row r="134" spans="1:11">
      <c r="A134" s="120"/>
      <c r="B134" s="103"/>
      <c r="C134" s="120"/>
      <c r="D134" s="88"/>
      <c r="E134" s="119"/>
      <c r="F134" s="119"/>
      <c r="G134" s="119"/>
      <c r="H134" s="119"/>
      <c r="I134" s="125"/>
      <c r="J134" s="103"/>
      <c r="K134" s="457"/>
    </row>
    <row r="135" spans="1:11">
      <c r="A135" s="67"/>
      <c r="B135" s="103"/>
      <c r="C135" s="120"/>
      <c r="D135" s="88"/>
      <c r="E135" s="119"/>
      <c r="F135" s="119"/>
      <c r="G135" s="119"/>
      <c r="H135" s="119"/>
      <c r="I135" s="125"/>
      <c r="J135" s="67"/>
    </row>
    <row r="136" spans="1:11">
      <c r="A136" s="67"/>
      <c r="B136" s="103"/>
      <c r="C136" s="120"/>
      <c r="D136" s="88"/>
      <c r="E136" s="119"/>
      <c r="F136" s="119"/>
      <c r="G136" s="119"/>
      <c r="H136" s="119"/>
      <c r="I136" s="125"/>
      <c r="J136" s="67"/>
    </row>
    <row r="137" spans="1:11">
      <c r="A137" s="114"/>
      <c r="B137" s="68"/>
      <c r="C137" s="88"/>
      <c r="D137" s="88"/>
      <c r="E137" s="113"/>
      <c r="F137" s="113"/>
      <c r="G137" s="113"/>
      <c r="H137" s="113"/>
      <c r="I137" s="86"/>
      <c r="J137" s="67"/>
      <c r="K137" s="131"/>
    </row>
    <row r="138" spans="1:11">
      <c r="A138" s="459"/>
      <c r="B138" s="67"/>
      <c r="C138" s="91"/>
      <c r="D138" s="122"/>
      <c r="E138" s="99"/>
      <c r="F138" s="99"/>
      <c r="G138" s="113"/>
      <c r="H138" s="113"/>
      <c r="I138" s="126"/>
      <c r="J138" s="67"/>
    </row>
    <row r="139" spans="1:11">
      <c r="A139" s="123"/>
      <c r="B139" s="66" t="s">
        <v>18</v>
      </c>
      <c r="C139" s="71"/>
      <c r="D139" s="66"/>
      <c r="E139" s="73"/>
      <c r="F139" s="115">
        <f>SUM(F123:F137)</f>
        <v>0</v>
      </c>
      <c r="G139" s="436"/>
      <c r="H139" s="115">
        <f>SUM(H123:H137)</f>
        <v>0</v>
      </c>
      <c r="I139" s="116"/>
      <c r="J139" s="67"/>
      <c r="K139" s="72">
        <f>+H139+F139</f>
        <v>0</v>
      </c>
    </row>
    <row r="140" spans="1:11">
      <c r="A140" s="123"/>
      <c r="B140" s="114" t="s">
        <v>53</v>
      </c>
      <c r="C140" s="71"/>
      <c r="D140" s="66"/>
      <c r="E140" s="73"/>
      <c r="F140" s="69"/>
      <c r="G140" s="436"/>
      <c r="H140" s="437"/>
      <c r="I140" s="117">
        <f>SUM(I123:I139)</f>
        <v>0</v>
      </c>
      <c r="J140" s="67"/>
      <c r="K140" s="72"/>
    </row>
    <row r="141" spans="1:11">
      <c r="A141" s="94"/>
      <c r="B141" s="129"/>
      <c r="C141" s="67"/>
      <c r="D141" s="67"/>
      <c r="E141" s="67"/>
      <c r="F141" s="67"/>
      <c r="G141" s="67"/>
      <c r="H141" s="67"/>
      <c r="I141" s="67"/>
      <c r="J141" s="67"/>
    </row>
    <row r="142" spans="1:11">
      <c r="A142" s="94"/>
      <c r="B142" s="129"/>
      <c r="C142" s="67"/>
      <c r="D142" s="67"/>
      <c r="E142" s="67"/>
      <c r="F142" s="67"/>
      <c r="G142" s="67"/>
      <c r="H142" s="67"/>
      <c r="I142" s="81"/>
      <c r="J142" s="67"/>
    </row>
    <row r="143" spans="1:11">
      <c r="A143" s="114"/>
      <c r="B143" s="102"/>
      <c r="C143" s="71"/>
      <c r="D143" s="66"/>
      <c r="E143" s="69"/>
      <c r="F143" s="69"/>
      <c r="G143" s="69"/>
      <c r="H143" s="69"/>
      <c r="I143" s="112"/>
      <c r="J143" s="67"/>
      <c r="K143" s="70"/>
    </row>
    <row r="144" spans="1:11">
      <c r="A144" s="114"/>
      <c r="B144" s="67"/>
      <c r="C144" s="88"/>
      <c r="D144" s="88"/>
      <c r="E144" s="113"/>
      <c r="F144" s="113"/>
      <c r="G144" s="113"/>
      <c r="H144" s="113"/>
      <c r="I144" s="86"/>
      <c r="J144" s="67"/>
      <c r="K144" s="70"/>
    </row>
    <row r="145" spans="1:11">
      <c r="A145" s="114"/>
      <c r="B145" s="102"/>
      <c r="C145" s="88"/>
      <c r="D145" s="88"/>
      <c r="E145" s="113"/>
      <c r="F145" s="113"/>
      <c r="G145" s="113"/>
      <c r="H145" s="113"/>
      <c r="I145" s="86"/>
      <c r="J145" s="67"/>
      <c r="K145" s="131"/>
    </row>
    <row r="146" spans="1:11">
      <c r="A146" s="114"/>
      <c r="B146" s="67"/>
      <c r="C146" s="88"/>
      <c r="D146" s="88"/>
      <c r="E146" s="89"/>
      <c r="F146" s="89"/>
      <c r="G146" s="95"/>
      <c r="H146" s="95"/>
      <c r="I146" s="86"/>
      <c r="J146" s="67"/>
      <c r="K146" s="131"/>
    </row>
    <row r="147" spans="1:11">
      <c r="A147" s="94"/>
      <c r="B147" s="129"/>
      <c r="C147" s="67"/>
      <c r="D147" s="67"/>
      <c r="E147" s="67"/>
      <c r="F147" s="67"/>
      <c r="G147" s="67"/>
      <c r="H147" s="67"/>
      <c r="I147" s="67"/>
      <c r="J147" s="67"/>
    </row>
    <row r="148" spans="1:11">
      <c r="A148" s="94"/>
      <c r="B148" s="129"/>
      <c r="C148" s="67"/>
      <c r="D148" s="67"/>
      <c r="E148" s="67"/>
      <c r="F148" s="67"/>
      <c r="G148" s="67"/>
      <c r="H148" s="67"/>
      <c r="I148" s="81"/>
      <c r="J148" s="67"/>
    </row>
    <row r="149" spans="1:11">
      <c r="A149" s="114"/>
      <c r="B149" s="102"/>
      <c r="C149" s="71"/>
      <c r="D149" s="66"/>
      <c r="E149" s="69"/>
      <c r="F149" s="69"/>
      <c r="G149" s="69"/>
      <c r="H149" s="69"/>
      <c r="I149" s="112"/>
      <c r="J149" s="67"/>
      <c r="K149" s="70"/>
    </row>
    <row r="150" spans="1:11">
      <c r="A150" s="114"/>
      <c r="B150" s="67"/>
      <c r="C150" s="88"/>
      <c r="D150" s="88"/>
      <c r="E150" s="113"/>
      <c r="F150" s="113"/>
      <c r="G150" s="113"/>
      <c r="H150" s="113"/>
      <c r="I150" s="86"/>
      <c r="J150" s="67"/>
      <c r="K150" s="70"/>
    </row>
    <row r="151" spans="1:11">
      <c r="A151" s="114"/>
      <c r="B151" s="67"/>
      <c r="C151" s="88"/>
      <c r="D151" s="88"/>
      <c r="E151" s="113"/>
      <c r="F151" s="113"/>
      <c r="G151" s="113"/>
      <c r="H151" s="113"/>
      <c r="I151" s="86"/>
      <c r="J151" s="67"/>
      <c r="K151" s="70"/>
    </row>
    <row r="152" spans="1:11">
      <c r="A152" s="114"/>
      <c r="B152" s="67"/>
      <c r="C152" s="88"/>
      <c r="D152" s="88"/>
      <c r="E152" s="113"/>
      <c r="F152" s="113"/>
      <c r="G152" s="113"/>
      <c r="H152" s="113"/>
      <c r="I152" s="86"/>
      <c r="J152" s="67"/>
      <c r="K152" s="70"/>
    </row>
    <row r="153" spans="1:11">
      <c r="A153" s="114"/>
      <c r="B153" s="67"/>
      <c r="C153" s="88"/>
      <c r="D153" s="88"/>
      <c r="E153" s="113"/>
      <c r="F153" s="113"/>
      <c r="G153" s="113"/>
      <c r="H153" s="113"/>
      <c r="I153" s="86"/>
      <c r="J153" s="67"/>
      <c r="K153" s="70"/>
    </row>
    <row r="154" spans="1:11">
      <c r="A154" s="114"/>
      <c r="B154" s="102"/>
      <c r="C154" s="88"/>
      <c r="D154" s="88"/>
      <c r="E154" s="113"/>
      <c r="F154" s="113"/>
      <c r="G154" s="113"/>
      <c r="H154" s="113"/>
      <c r="I154" s="86"/>
      <c r="J154" s="67"/>
      <c r="K154" s="131"/>
    </row>
    <row r="155" spans="1:11">
      <c r="A155" s="114"/>
      <c r="B155" s="67"/>
      <c r="C155" s="88"/>
      <c r="D155" s="88"/>
      <c r="E155" s="89"/>
      <c r="F155" s="89"/>
      <c r="G155" s="95"/>
      <c r="H155" s="95"/>
      <c r="I155" s="86"/>
      <c r="J155" s="67"/>
      <c r="K155" s="131"/>
    </row>
    <row r="156" spans="1:11">
      <c r="A156" s="114"/>
      <c r="B156" s="67"/>
      <c r="C156" s="88"/>
      <c r="D156" s="88"/>
      <c r="E156" s="89"/>
      <c r="F156" s="89"/>
      <c r="G156" s="95"/>
      <c r="H156" s="95"/>
      <c r="I156" s="86"/>
      <c r="J156" s="67"/>
      <c r="K156" s="131"/>
    </row>
    <row r="157" spans="1:11">
      <c r="A157" s="459"/>
      <c r="B157" s="67"/>
      <c r="C157" s="91"/>
      <c r="D157" s="122"/>
      <c r="E157" s="99"/>
      <c r="F157" s="99"/>
      <c r="G157" s="113"/>
      <c r="H157" s="113"/>
      <c r="I157" s="126"/>
      <c r="J157" s="67"/>
    </row>
    <row r="158" spans="1:11">
      <c r="A158" s="123"/>
      <c r="B158" s="66" t="s">
        <v>18</v>
      </c>
      <c r="C158" s="71"/>
      <c r="D158" s="66"/>
      <c r="E158" s="73"/>
      <c r="F158" s="115">
        <f>SUM(F143:F156)</f>
        <v>0</v>
      </c>
      <c r="G158" s="436"/>
      <c r="H158" s="115">
        <f>SUM(H143:H156)</f>
        <v>0</v>
      </c>
      <c r="I158" s="116"/>
      <c r="J158" s="67"/>
      <c r="K158" s="72">
        <f>+H158+F158</f>
        <v>0</v>
      </c>
    </row>
    <row r="159" spans="1:11">
      <c r="A159" s="123"/>
      <c r="B159" s="114" t="s">
        <v>53</v>
      </c>
      <c r="C159" s="71"/>
      <c r="D159" s="66"/>
      <c r="E159" s="73"/>
      <c r="F159" s="69"/>
      <c r="G159" s="436"/>
      <c r="H159" s="437"/>
      <c r="I159" s="117">
        <f>SUM(I142:I158)</f>
        <v>0</v>
      </c>
      <c r="J159" s="67"/>
      <c r="K159" s="72"/>
    </row>
    <row r="160" spans="1:11">
      <c r="A160" s="94"/>
      <c r="B160" s="129"/>
      <c r="C160" s="67"/>
      <c r="D160" s="67"/>
      <c r="E160" s="67"/>
      <c r="F160" s="67"/>
      <c r="G160" s="67"/>
      <c r="H160" s="67"/>
      <c r="I160" s="67"/>
      <c r="J160" s="67"/>
    </row>
    <row r="161" spans="1:11">
      <c r="A161" s="94"/>
      <c r="B161" s="129"/>
      <c r="C161" s="67"/>
      <c r="D161" s="67"/>
      <c r="E161" s="67"/>
      <c r="F161" s="67"/>
      <c r="G161" s="67"/>
      <c r="H161" s="67"/>
      <c r="I161" s="81"/>
      <c r="J161" s="67"/>
    </row>
    <row r="162" spans="1:11">
      <c r="A162" s="114"/>
      <c r="B162" s="102"/>
      <c r="C162" s="88"/>
      <c r="D162" s="88"/>
      <c r="E162" s="113"/>
      <c r="F162" s="113"/>
      <c r="G162" s="113"/>
      <c r="H162" s="113"/>
      <c r="I162" s="86"/>
      <c r="J162" s="67"/>
      <c r="K162" s="131"/>
    </row>
    <row r="163" spans="1:11">
      <c r="A163" s="88"/>
      <c r="B163" s="67"/>
      <c r="C163" s="88"/>
      <c r="D163" s="88"/>
      <c r="E163" s="89"/>
      <c r="F163" s="89"/>
      <c r="G163" s="95"/>
      <c r="H163" s="95"/>
      <c r="I163" s="86"/>
      <c r="J163" s="67"/>
    </row>
    <row r="164" spans="1:11">
      <c r="A164" s="88"/>
      <c r="B164" s="67"/>
      <c r="C164" s="88"/>
      <c r="D164" s="88"/>
      <c r="E164" s="89"/>
      <c r="F164" s="89"/>
      <c r="G164" s="95"/>
      <c r="H164" s="95"/>
      <c r="I164" s="86"/>
      <c r="J164" s="67"/>
    </row>
    <row r="165" spans="1:11">
      <c r="A165" s="88"/>
      <c r="B165" s="67"/>
      <c r="C165" s="88"/>
      <c r="D165" s="88"/>
      <c r="E165" s="89"/>
      <c r="F165" s="89"/>
      <c r="G165" s="95"/>
      <c r="H165" s="95"/>
      <c r="I165" s="86"/>
      <c r="J165" s="67"/>
    </row>
    <row r="166" spans="1:11">
      <c r="A166" s="88"/>
      <c r="B166" s="67"/>
      <c r="C166" s="88"/>
      <c r="D166" s="88"/>
      <c r="E166" s="89"/>
      <c r="F166" s="89"/>
      <c r="G166" s="95"/>
      <c r="H166" s="95"/>
      <c r="I166" s="86"/>
      <c r="J166" s="67"/>
    </row>
    <row r="167" spans="1:11">
      <c r="A167" s="94"/>
      <c r="B167" s="87"/>
      <c r="C167" s="67"/>
      <c r="D167" s="67"/>
      <c r="E167" s="67"/>
      <c r="F167" s="67"/>
      <c r="G167" s="67"/>
      <c r="H167" s="67"/>
      <c r="I167" s="67"/>
      <c r="J167" s="67"/>
      <c r="K167" s="72"/>
    </row>
    <row r="168" spans="1:11">
      <c r="A168" s="67"/>
      <c r="B168" s="67"/>
      <c r="C168" s="91"/>
      <c r="D168" s="88"/>
      <c r="E168" s="113"/>
      <c r="F168" s="113"/>
      <c r="G168" s="121"/>
      <c r="H168" s="121"/>
      <c r="I168" s="86"/>
      <c r="J168" s="81"/>
    </row>
    <row r="169" spans="1:11">
      <c r="A169" s="460"/>
      <c r="B169" s="67"/>
      <c r="C169" s="91"/>
      <c r="D169" s="88"/>
      <c r="E169" s="113"/>
      <c r="F169" s="113"/>
      <c r="G169" s="121"/>
      <c r="H169" s="121"/>
      <c r="I169" s="86"/>
      <c r="J169" s="67"/>
    </row>
    <row r="170" spans="1:11">
      <c r="A170" s="94"/>
      <c r="B170" s="67"/>
      <c r="C170" s="88"/>
      <c r="D170" s="88"/>
      <c r="E170" s="113"/>
      <c r="F170" s="113"/>
      <c r="G170" s="121"/>
      <c r="H170" s="121"/>
      <c r="I170" s="86"/>
      <c r="J170" s="67"/>
      <c r="K170" s="72"/>
    </row>
    <row r="171" spans="1:11">
      <c r="A171" s="88"/>
      <c r="B171" s="67"/>
      <c r="C171" s="88"/>
      <c r="D171" s="88"/>
      <c r="E171" s="113"/>
      <c r="F171" s="113"/>
      <c r="G171" s="121"/>
      <c r="H171" s="121"/>
      <c r="I171" s="86"/>
      <c r="J171" s="67"/>
      <c r="K171" s="130"/>
    </row>
    <row r="172" spans="1:11">
      <c r="A172" s="123"/>
      <c r="B172" s="103"/>
      <c r="C172" s="120"/>
      <c r="D172" s="88"/>
      <c r="E172" s="119"/>
      <c r="F172" s="113"/>
      <c r="G172" s="119"/>
      <c r="H172" s="119"/>
      <c r="I172" s="86"/>
      <c r="J172" s="67"/>
      <c r="K172" s="70"/>
    </row>
    <row r="173" spans="1:11">
      <c r="A173" s="114"/>
      <c r="B173" s="103"/>
      <c r="C173" s="120"/>
      <c r="D173" s="88"/>
      <c r="E173" s="119"/>
      <c r="F173" s="113"/>
      <c r="G173" s="119"/>
      <c r="H173" s="119"/>
      <c r="I173" s="86"/>
      <c r="J173" s="67"/>
      <c r="K173" s="461"/>
    </row>
    <row r="174" spans="1:11">
      <c r="A174" s="114"/>
      <c r="B174" s="68"/>
      <c r="C174" s="88"/>
      <c r="D174" s="88"/>
      <c r="E174" s="113"/>
      <c r="F174" s="113"/>
      <c r="G174" s="113"/>
      <c r="H174" s="113"/>
      <c r="I174" s="86"/>
      <c r="J174" s="67"/>
      <c r="K174" s="131"/>
    </row>
    <row r="175" spans="1:11">
      <c r="A175" s="114"/>
      <c r="B175" s="68"/>
      <c r="C175" s="88"/>
      <c r="D175" s="88"/>
      <c r="E175" s="113"/>
      <c r="F175" s="113"/>
      <c r="G175" s="113"/>
      <c r="H175" s="113"/>
      <c r="I175" s="86"/>
      <c r="J175" s="67"/>
      <c r="K175" s="131"/>
    </row>
    <row r="176" spans="1:11">
      <c r="A176" s="459"/>
      <c r="B176" s="67"/>
      <c r="C176" s="91"/>
      <c r="D176" s="122"/>
      <c r="E176" s="99"/>
      <c r="F176" s="99"/>
      <c r="G176" s="113"/>
      <c r="H176" s="113"/>
      <c r="I176" s="126"/>
      <c r="J176" s="67"/>
    </row>
    <row r="177" spans="1:11">
      <c r="A177" s="123"/>
      <c r="B177" s="66" t="s">
        <v>18</v>
      </c>
      <c r="C177" s="71"/>
      <c r="D177" s="66"/>
      <c r="E177" s="73"/>
      <c r="F177" s="115">
        <f>SUM(F160:F175)</f>
        <v>0</v>
      </c>
      <c r="G177" s="436"/>
      <c r="H177" s="115">
        <f>SUM(H160:H175)</f>
        <v>0</v>
      </c>
      <c r="I177" s="116"/>
      <c r="J177" s="67"/>
      <c r="K177" s="72">
        <f>+H177+F177</f>
        <v>0</v>
      </c>
    </row>
    <row r="178" spans="1:11">
      <c r="A178" s="123"/>
      <c r="B178" s="114" t="s">
        <v>53</v>
      </c>
      <c r="C178" s="71"/>
      <c r="D178" s="66"/>
      <c r="E178" s="73"/>
      <c r="F178" s="69"/>
      <c r="G178" s="436"/>
      <c r="H178" s="437"/>
      <c r="I178" s="117">
        <f>SUM(I162:I177)</f>
        <v>0</v>
      </c>
      <c r="J178" s="67"/>
      <c r="K178" s="72"/>
    </row>
  </sheetData>
  <mergeCells count="18">
    <mergeCell ref="G49:H49"/>
    <mergeCell ref="G14:H14"/>
    <mergeCell ref="G37:H37"/>
    <mergeCell ref="G38:H38"/>
    <mergeCell ref="G39:H39"/>
    <mergeCell ref="G48:H48"/>
    <mergeCell ref="A1:J1"/>
    <mergeCell ref="E6:F6"/>
    <mergeCell ref="G6:H6"/>
    <mergeCell ref="A6:A7"/>
    <mergeCell ref="C6:C7"/>
    <mergeCell ref="D6:D7"/>
    <mergeCell ref="J6:J7"/>
    <mergeCell ref="G50:H50"/>
    <mergeCell ref="G54:H54"/>
    <mergeCell ref="G94:H94"/>
    <mergeCell ref="G86:H86"/>
    <mergeCell ref="G104:H104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H25"/>
  <sheetViews>
    <sheetView view="pageBreakPreview" zoomScaleSheetLayoutView="100" workbookViewId="0">
      <selection activeCell="C14" sqref="C14"/>
    </sheetView>
  </sheetViews>
  <sheetFormatPr defaultRowHeight="20.25"/>
  <cols>
    <col min="1" max="1" width="13.140625" style="168" customWidth="1"/>
    <col min="2" max="2" width="64.42578125" style="74" customWidth="1"/>
    <col min="3" max="3" width="15.5703125" style="74" customWidth="1"/>
    <col min="4" max="4" width="11.7109375" style="74" customWidth="1"/>
    <col min="5" max="5" width="24.140625" style="74" customWidth="1"/>
    <col min="6" max="6" width="17.5703125" style="74" customWidth="1"/>
    <col min="7" max="7" width="12" style="74" customWidth="1"/>
    <col min="8" max="8" width="13.85546875" style="75" bestFit="1" customWidth="1"/>
    <col min="9" max="10" width="13.85546875" style="74" bestFit="1" customWidth="1"/>
    <col min="11" max="16384" width="9.140625" style="74"/>
  </cols>
  <sheetData>
    <row r="1" spans="1:8" s="75" customFormat="1">
      <c r="A1" s="518" t="s">
        <v>60</v>
      </c>
      <c r="B1" s="518"/>
      <c r="C1" s="518"/>
      <c r="D1" s="518"/>
      <c r="E1" s="518"/>
      <c r="F1" s="518"/>
    </row>
    <row r="2" spans="1:8" s="75" customFormat="1">
      <c r="A2" s="517" t="s">
        <v>26</v>
      </c>
      <c r="B2" s="517"/>
      <c r="C2" s="517"/>
      <c r="D2" s="517"/>
      <c r="E2" s="517"/>
      <c r="F2" s="517"/>
    </row>
    <row r="3" spans="1:8" s="138" customFormat="1">
      <c r="A3" s="136" t="s">
        <v>58</v>
      </c>
      <c r="B3" s="141" t="s">
        <v>57</v>
      </c>
      <c r="C3" s="136"/>
      <c r="D3" s="137"/>
      <c r="E3" s="137"/>
      <c r="F3" s="137"/>
    </row>
    <row r="4" spans="1:8" s="75" customFormat="1">
      <c r="A4" s="136" t="s">
        <v>59</v>
      </c>
      <c r="B4" s="141" t="str">
        <f>+'แบบ ปร.6'!B2</f>
        <v>งานจ้างก่อสร้างโรงเลี้ยง ศฝ.สอ.รฝ. ขนาด 500 คน จำนวน 1 หลัง</v>
      </c>
      <c r="C4" s="139" t="s">
        <v>14</v>
      </c>
      <c r="D4" s="141" t="str">
        <f>+ฟฟ.!G3</f>
        <v>35-2-062,62-2-107</v>
      </c>
      <c r="E4" s="140"/>
      <c r="F4" s="141"/>
    </row>
    <row r="5" spans="1:8" s="138" customFormat="1">
      <c r="A5" s="136" t="s">
        <v>54</v>
      </c>
      <c r="B5" s="141" t="str">
        <f>+'แบบ ปร.6'!B3</f>
        <v xml:space="preserve"> อ.สัตหีบ  จว.ชลบุรี</v>
      </c>
      <c r="C5" s="141" t="s">
        <v>144</v>
      </c>
      <c r="D5" s="141"/>
      <c r="E5" s="137" t="str">
        <f>+'แบบ ปร.6'!C5</f>
        <v>ศฝ.สอ.รฝ.</v>
      </c>
      <c r="F5" s="137"/>
    </row>
    <row r="6" spans="1:8" s="138" customFormat="1" ht="21" thickBot="1">
      <c r="A6" s="164" t="s">
        <v>84</v>
      </c>
      <c r="B6" s="164">
        <f>+ฟฟ.ภนอ.!B5</f>
        <v>0</v>
      </c>
      <c r="C6" s="142">
        <f>+'แบบ ปร.6'!B7</f>
        <v>0</v>
      </c>
      <c r="D6" s="142"/>
      <c r="E6" s="142"/>
      <c r="F6" s="143"/>
    </row>
    <row r="7" spans="1:8" ht="21" thickTop="1">
      <c r="A7" s="144" t="s">
        <v>61</v>
      </c>
      <c r="B7" s="144" t="s">
        <v>1</v>
      </c>
      <c r="C7" s="145" t="s">
        <v>2</v>
      </c>
      <c r="D7" s="144" t="s">
        <v>3</v>
      </c>
      <c r="E7" s="146" t="s">
        <v>74</v>
      </c>
      <c r="F7" s="147" t="s">
        <v>8</v>
      </c>
    </row>
    <row r="8" spans="1:8" ht="21" thickBot="1">
      <c r="A8" s="165"/>
      <c r="B8" s="148"/>
      <c r="C8" s="149"/>
      <c r="D8" s="148"/>
      <c r="E8" s="150" t="s">
        <v>75</v>
      </c>
      <c r="F8" s="151"/>
    </row>
    <row r="9" spans="1:8" ht="21" thickTop="1">
      <c r="A9" s="166"/>
      <c r="B9" s="152"/>
      <c r="C9" s="153"/>
      <c r="D9" s="153"/>
      <c r="E9" s="135"/>
      <c r="F9" s="154"/>
      <c r="G9" s="154"/>
    </row>
    <row r="10" spans="1:8" s="156" customFormat="1">
      <c r="A10" s="166"/>
      <c r="B10" s="152"/>
      <c r="C10" s="153"/>
      <c r="D10" s="153"/>
      <c r="E10" s="135"/>
      <c r="F10" s="154"/>
      <c r="G10" s="154"/>
      <c r="H10" s="155"/>
    </row>
    <row r="11" spans="1:8" s="156" customFormat="1">
      <c r="A11" s="166"/>
      <c r="B11" s="154"/>
      <c r="C11" s="154"/>
      <c r="D11" s="154"/>
      <c r="E11" s="154"/>
      <c r="F11" s="154"/>
      <c r="G11" s="154"/>
      <c r="H11" s="155"/>
    </row>
    <row r="12" spans="1:8" s="156" customFormat="1">
      <c r="A12" s="166"/>
      <c r="B12" s="152"/>
      <c r="C12" s="157"/>
      <c r="D12" s="158"/>
      <c r="E12" s="159"/>
      <c r="F12" s="160"/>
      <c r="H12" s="155"/>
    </row>
    <row r="13" spans="1:8" s="156" customFormat="1">
      <c r="A13" s="166"/>
      <c r="B13" s="152"/>
      <c r="C13" s="158"/>
      <c r="D13" s="158"/>
      <c r="E13" s="161"/>
      <c r="F13" s="160"/>
      <c r="H13" s="155"/>
    </row>
    <row r="14" spans="1:8" s="156" customFormat="1">
      <c r="A14" s="166"/>
      <c r="B14" s="152"/>
      <c r="C14" s="162"/>
      <c r="D14" s="158"/>
      <c r="E14" s="161"/>
      <c r="F14" s="160"/>
      <c r="H14" s="155"/>
    </row>
    <row r="15" spans="1:8" s="156" customFormat="1">
      <c r="A15" s="166"/>
      <c r="B15" s="152"/>
      <c r="C15" s="162"/>
      <c r="D15" s="158"/>
      <c r="E15" s="161"/>
      <c r="F15" s="160"/>
      <c r="H15" s="155"/>
    </row>
    <row r="16" spans="1:8" s="156" customFormat="1">
      <c r="A16" s="166"/>
      <c r="B16" s="152"/>
      <c r="C16" s="162"/>
      <c r="D16" s="158"/>
      <c r="E16" s="161"/>
      <c r="F16" s="160"/>
      <c r="H16" s="155"/>
    </row>
    <row r="17" spans="1:8" s="156" customFormat="1">
      <c r="A17" s="166"/>
      <c r="B17" s="152"/>
      <c r="C17" s="162"/>
      <c r="D17" s="158"/>
      <c r="E17" s="161"/>
      <c r="F17" s="160"/>
      <c r="H17" s="155"/>
    </row>
    <row r="18" spans="1:8" s="156" customFormat="1">
      <c r="A18" s="166"/>
      <c r="B18" s="152"/>
      <c r="C18" s="162"/>
      <c r="D18" s="158"/>
      <c r="E18" s="161"/>
      <c r="F18" s="160"/>
      <c r="H18" s="155"/>
    </row>
    <row r="19" spans="1:8">
      <c r="A19" s="166"/>
      <c r="B19" s="152"/>
      <c r="C19" s="162"/>
      <c r="D19" s="158"/>
      <c r="E19" s="161"/>
      <c r="F19" s="160"/>
    </row>
    <row r="20" spans="1:8">
      <c r="A20" s="166"/>
      <c r="B20" s="152"/>
      <c r="C20" s="158"/>
      <c r="D20" s="158"/>
      <c r="E20" s="161"/>
      <c r="F20" s="160"/>
    </row>
    <row r="21" spans="1:8" s="156" customFormat="1">
      <c r="A21" s="166"/>
      <c r="B21" s="152"/>
      <c r="C21" s="157"/>
      <c r="D21" s="158"/>
      <c r="E21" s="161"/>
      <c r="F21" s="160"/>
      <c r="H21" s="155"/>
    </row>
    <row r="22" spans="1:8">
      <c r="A22" s="166"/>
      <c r="B22" s="152"/>
      <c r="C22" s="157"/>
      <c r="D22" s="158"/>
      <c r="E22" s="161"/>
      <c r="F22" s="160"/>
    </row>
    <row r="23" spans="1:8">
      <c r="A23" s="167"/>
      <c r="B23" s="166" t="s">
        <v>76</v>
      </c>
      <c r="C23" s="157"/>
      <c r="D23" s="158"/>
      <c r="E23" s="135">
        <f>SUM(E9:E22)</f>
        <v>0</v>
      </c>
      <c r="F23" s="160"/>
      <c r="G23" s="163"/>
    </row>
    <row r="24" spans="1:8">
      <c r="A24" s="166"/>
      <c r="B24" s="152"/>
      <c r="C24" s="157"/>
      <c r="D24" s="158"/>
      <c r="E24" s="161"/>
      <c r="F24" s="160"/>
      <c r="G24" s="163"/>
    </row>
    <row r="25" spans="1:8">
      <c r="A25" s="166"/>
      <c r="B25" s="152"/>
      <c r="C25" s="157"/>
      <c r="D25" s="158"/>
      <c r="E25" s="161"/>
      <c r="F25" s="160"/>
      <c r="G25" s="163"/>
    </row>
  </sheetData>
  <mergeCells count="2">
    <mergeCell ref="A2:F2"/>
    <mergeCell ref="A1:F1"/>
  </mergeCells>
  <dataValidations count="1">
    <dataValidation type="list" allowBlank="1" showInputMessage="1" showErrorMessage="1" sqref="B3">
      <formula1>"งานอาคาร,งานทาง,งานสะพานและท่อเหลี่ยม,งานชลประทาน"</formula1>
    </dataValidation>
  </dataValidations>
  <pageMargins left="0.7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( พ )แผ่นที่ 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M37"/>
  <sheetViews>
    <sheetView view="pageBreakPreview" topLeftCell="A23" zoomScaleSheetLayoutView="100" workbookViewId="0">
      <selection activeCell="L38" sqref="L38"/>
    </sheetView>
  </sheetViews>
  <sheetFormatPr defaultRowHeight="18"/>
  <cols>
    <col min="1" max="1" width="6.140625" style="1" customWidth="1"/>
    <col min="2" max="6" width="6.85546875" style="1" customWidth="1"/>
    <col min="7" max="7" width="7.7109375" style="1" customWidth="1"/>
    <col min="8" max="8" width="8.42578125" style="1" customWidth="1"/>
    <col min="9" max="11" width="11.7109375" style="1" customWidth="1"/>
    <col min="12" max="12" width="10.28515625" style="1" customWidth="1"/>
    <col min="13" max="13" width="67.28515625" style="1" customWidth="1"/>
    <col min="14" max="16384" width="9.140625" style="1"/>
  </cols>
  <sheetData>
    <row r="1" spans="1:12" ht="23.1" hidden="1" customHeight="1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0.25">
      <c r="A2" s="519" t="s">
        <v>38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</row>
    <row r="3" spans="1:12">
      <c r="A3" s="520" t="s">
        <v>39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</row>
    <row r="4" spans="1:12">
      <c r="A4" s="3" t="s">
        <v>143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6" t="s">
        <v>59</v>
      </c>
      <c r="B5" s="6"/>
      <c r="C5" s="6"/>
      <c r="D5" s="5" t="str">
        <f>+'แบบ ปร.6'!B2</f>
        <v>งานจ้างก่อสร้างโรงเลี้ยง ศฝ.สอ.รฝ. ขนาด 500 คน จำนวน 1 หลัง</v>
      </c>
      <c r="E5" s="6"/>
      <c r="F5" s="6"/>
      <c r="G5" s="6"/>
      <c r="H5" s="6"/>
      <c r="I5" s="8"/>
      <c r="J5" s="6"/>
      <c r="K5" s="6"/>
      <c r="L5" s="6"/>
    </row>
    <row r="6" spans="1:12">
      <c r="A6" s="6" t="s">
        <v>63</v>
      </c>
      <c r="B6" s="6"/>
      <c r="C6" s="6"/>
      <c r="D6" s="5" t="str">
        <f>+'แบบ ปร.6'!B3</f>
        <v xml:space="preserve"> อ.สัตหีบ  จว.ชลบุรี</v>
      </c>
      <c r="E6" s="6"/>
      <c r="F6" s="6"/>
      <c r="G6" s="6" t="s">
        <v>14</v>
      </c>
      <c r="H6" s="8" t="str">
        <f>+'แบบ ปร.4(พ)'!D4</f>
        <v>35-2-062,62-2-107</v>
      </c>
      <c r="J6" s="6"/>
      <c r="K6" s="6"/>
      <c r="L6" s="6"/>
    </row>
    <row r="7" spans="1:12">
      <c r="A7" s="6" t="s">
        <v>77</v>
      </c>
      <c r="B7" s="6"/>
      <c r="C7" s="6"/>
      <c r="D7" s="5" t="str">
        <f>+'แบบ ปร.6'!C5</f>
        <v>ศฝ.สอ.รฝ.</v>
      </c>
      <c r="E7" s="6"/>
      <c r="F7" s="3"/>
      <c r="G7" s="3"/>
      <c r="H7" s="6"/>
      <c r="I7" s="8"/>
      <c r="J7" s="6"/>
      <c r="K7" s="6"/>
      <c r="L7" s="6"/>
    </row>
    <row r="8" spans="1:12">
      <c r="A8" s="6" t="s">
        <v>78</v>
      </c>
      <c r="B8" s="6"/>
      <c r="C8" s="6"/>
      <c r="D8" s="6">
        <f>+'แบบ ปร.4(พ)'!B6</f>
        <v>0</v>
      </c>
      <c r="E8" s="6"/>
      <c r="F8" s="6"/>
      <c r="G8" s="6"/>
      <c r="H8" s="6">
        <f>+'แบบ ปร.6'!B7</f>
        <v>0</v>
      </c>
      <c r="I8" s="6"/>
      <c r="J8" s="6"/>
      <c r="K8" s="6"/>
      <c r="L8" s="6"/>
    </row>
    <row r="9" spans="1:12" s="2" customFormat="1">
      <c r="A9" s="5" t="s">
        <v>33</v>
      </c>
      <c r="B9" s="6"/>
      <c r="C9" s="6"/>
      <c r="D9" s="6"/>
      <c r="E9" s="6"/>
      <c r="F9" s="6"/>
      <c r="G9" s="6"/>
      <c r="H9" s="6"/>
      <c r="I9" s="5"/>
      <c r="J9" s="5"/>
      <c r="K9" s="5"/>
      <c r="L9" s="5"/>
    </row>
    <row r="10" spans="1:12" s="7" customForma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s="7" customForma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2" customFormat="1">
      <c r="A16" s="11" t="s">
        <v>34</v>
      </c>
      <c r="B16" s="9"/>
      <c r="C16" s="9"/>
      <c r="D16" s="9"/>
      <c r="E16" s="9"/>
      <c r="F16" s="9"/>
      <c r="G16" s="9"/>
      <c r="H16" s="9"/>
      <c r="I16" s="11"/>
      <c r="J16" s="11"/>
      <c r="K16" s="11"/>
      <c r="L16" s="11"/>
    </row>
    <row r="17" spans="1:13">
      <c r="A17" s="108" t="s">
        <v>6</v>
      </c>
      <c r="B17" s="521" t="s">
        <v>28</v>
      </c>
      <c r="C17" s="521"/>
      <c r="D17" s="521"/>
      <c r="E17" s="521"/>
      <c r="F17" s="521"/>
      <c r="G17" s="521"/>
      <c r="H17" s="108" t="s">
        <v>2</v>
      </c>
      <c r="I17" s="108" t="s">
        <v>3</v>
      </c>
      <c r="J17" s="108" t="s">
        <v>29</v>
      </c>
      <c r="K17" s="108" t="s">
        <v>30</v>
      </c>
      <c r="L17" s="12" t="s">
        <v>8</v>
      </c>
    </row>
    <row r="18" spans="1:13">
      <c r="A18" s="13"/>
      <c r="B18" s="522"/>
      <c r="C18" s="522"/>
      <c r="D18" s="522"/>
      <c r="E18" s="522"/>
      <c r="F18" s="522"/>
      <c r="G18" s="522"/>
      <c r="H18" s="108"/>
      <c r="I18" s="108"/>
      <c r="J18" s="108"/>
      <c r="K18" s="108"/>
      <c r="L18" s="108"/>
    </row>
    <row r="19" spans="1:13">
      <c r="A19" s="108"/>
      <c r="B19" s="522"/>
      <c r="C19" s="522"/>
      <c r="D19" s="522"/>
      <c r="E19" s="522"/>
      <c r="F19" s="522"/>
      <c r="G19" s="522"/>
      <c r="H19" s="108"/>
      <c r="I19" s="14"/>
      <c r="J19" s="15"/>
      <c r="K19" s="15"/>
      <c r="L19" s="108"/>
    </row>
    <row r="20" spans="1:13" ht="21.75">
      <c r="A20" s="108"/>
      <c r="B20" s="522"/>
      <c r="C20" s="522"/>
      <c r="D20" s="522"/>
      <c r="E20" s="522"/>
      <c r="F20" s="522"/>
      <c r="G20" s="522"/>
      <c r="H20" s="108"/>
      <c r="I20" s="14"/>
      <c r="J20" s="15"/>
      <c r="K20" s="15"/>
      <c r="L20" s="16"/>
    </row>
    <row r="21" spans="1:13">
      <c r="A21" s="108"/>
      <c r="B21" s="522"/>
      <c r="C21" s="522"/>
      <c r="D21" s="522"/>
      <c r="E21" s="522"/>
      <c r="F21" s="522"/>
      <c r="G21" s="522"/>
      <c r="H21" s="108"/>
      <c r="I21" s="14"/>
      <c r="J21" s="15"/>
      <c r="K21" s="15"/>
      <c r="L21" s="108"/>
    </row>
    <row r="22" spans="1:13">
      <c r="A22" s="108"/>
      <c r="B22" s="522"/>
      <c r="C22" s="522"/>
      <c r="D22" s="522"/>
      <c r="E22" s="522"/>
      <c r="F22" s="522"/>
      <c r="G22" s="522"/>
      <c r="H22" s="108"/>
      <c r="I22" s="14"/>
      <c r="J22" s="15"/>
      <c r="K22" s="15"/>
      <c r="L22" s="108"/>
    </row>
    <row r="23" spans="1:13">
      <c r="A23" s="108"/>
      <c r="B23" s="522"/>
      <c r="C23" s="522"/>
      <c r="D23" s="522"/>
      <c r="E23" s="522"/>
      <c r="F23" s="522"/>
      <c r="G23" s="522"/>
      <c r="H23" s="108"/>
      <c r="I23" s="14"/>
      <c r="J23" s="15"/>
      <c r="K23" s="15"/>
      <c r="L23" s="108"/>
    </row>
    <row r="24" spans="1:13">
      <c r="A24" s="13"/>
      <c r="B24" s="522"/>
      <c r="C24" s="522"/>
      <c r="D24" s="522"/>
      <c r="E24" s="522"/>
      <c r="F24" s="522"/>
      <c r="G24" s="522"/>
      <c r="H24" s="108"/>
      <c r="I24" s="14"/>
      <c r="J24" s="15"/>
      <c r="K24" s="15"/>
      <c r="L24" s="108"/>
    </row>
    <row r="25" spans="1:13">
      <c r="A25" s="108"/>
      <c r="B25" s="522"/>
      <c r="C25" s="522"/>
      <c r="D25" s="522"/>
      <c r="E25" s="522"/>
      <c r="F25" s="522"/>
      <c r="G25" s="522"/>
      <c r="H25" s="108"/>
      <c r="I25" s="14"/>
      <c r="J25" s="15"/>
      <c r="K25" s="15"/>
      <c r="L25" s="108"/>
    </row>
    <row r="26" spans="1:13">
      <c r="A26" s="108"/>
      <c r="B26" s="522"/>
      <c r="C26" s="522"/>
      <c r="D26" s="522"/>
      <c r="E26" s="522"/>
      <c r="F26" s="522"/>
      <c r="G26" s="522"/>
      <c r="H26" s="108"/>
      <c r="I26" s="14"/>
      <c r="J26" s="15"/>
      <c r="K26" s="15"/>
      <c r="L26" s="108"/>
    </row>
    <row r="27" spans="1:13">
      <c r="A27" s="108"/>
      <c r="B27" s="522"/>
      <c r="C27" s="522"/>
      <c r="D27" s="522"/>
      <c r="E27" s="522"/>
      <c r="F27" s="522"/>
      <c r="G27" s="522"/>
      <c r="H27" s="108"/>
      <c r="I27" s="14"/>
      <c r="J27" s="15"/>
      <c r="K27" s="15"/>
      <c r="L27" s="108"/>
    </row>
    <row r="28" spans="1:13">
      <c r="A28" s="108"/>
      <c r="B28" s="522"/>
      <c r="C28" s="522"/>
      <c r="D28" s="522"/>
      <c r="E28" s="522"/>
      <c r="F28" s="522"/>
      <c r="G28" s="522"/>
      <c r="H28" s="108"/>
      <c r="I28" s="14"/>
      <c r="J28" s="15"/>
      <c r="K28" s="15"/>
      <c r="L28" s="108"/>
      <c r="M28" s="1" t="s">
        <v>41</v>
      </c>
    </row>
    <row r="29" spans="1:13">
      <c r="A29" s="108"/>
      <c r="B29" s="522"/>
      <c r="C29" s="522"/>
      <c r="D29" s="522"/>
      <c r="E29" s="522"/>
      <c r="F29" s="522"/>
      <c r="G29" s="522"/>
      <c r="H29" s="108"/>
      <c r="I29" s="14"/>
      <c r="J29" s="15"/>
      <c r="K29" s="15"/>
      <c r="L29" s="108"/>
      <c r="M29" s="1" t="s">
        <v>47</v>
      </c>
    </row>
    <row r="30" spans="1:13">
      <c r="A30" s="108"/>
      <c r="B30" s="522"/>
      <c r="C30" s="522"/>
      <c r="D30" s="522"/>
      <c r="E30" s="522"/>
      <c r="F30" s="522"/>
      <c r="G30" s="522"/>
      <c r="H30" s="108"/>
      <c r="I30" s="14"/>
      <c r="J30" s="15"/>
      <c r="K30" s="15"/>
      <c r="L30" s="108"/>
      <c r="M30" s="1" t="s">
        <v>46</v>
      </c>
    </row>
    <row r="31" spans="1:13">
      <c r="A31" s="108"/>
      <c r="B31" s="522"/>
      <c r="C31" s="522"/>
      <c r="D31" s="522"/>
      <c r="E31" s="522"/>
      <c r="F31" s="522"/>
      <c r="G31" s="522"/>
      <c r="H31" s="108"/>
      <c r="I31" s="14"/>
      <c r="J31" s="15"/>
      <c r="K31" s="15"/>
      <c r="L31" s="108"/>
    </row>
    <row r="32" spans="1:13">
      <c r="A32" s="108"/>
      <c r="B32" s="522"/>
      <c r="C32" s="522"/>
      <c r="D32" s="522"/>
      <c r="E32" s="522"/>
      <c r="F32" s="522"/>
      <c r="G32" s="522"/>
      <c r="H32" s="108"/>
      <c r="I32" s="14"/>
      <c r="J32" s="15"/>
      <c r="K32" s="15"/>
      <c r="L32" s="108"/>
      <c r="M32" s="1" t="s">
        <v>45</v>
      </c>
    </row>
    <row r="33" spans="1:12">
      <c r="A33" s="108"/>
      <c r="B33" s="522"/>
      <c r="C33" s="522"/>
      <c r="D33" s="522"/>
      <c r="E33" s="522"/>
      <c r="F33" s="522"/>
      <c r="G33" s="522"/>
      <c r="H33" s="108"/>
      <c r="I33" s="14"/>
      <c r="J33" s="15"/>
      <c r="K33" s="15"/>
      <c r="L33" s="108"/>
    </row>
    <row r="34" spans="1:12">
      <c r="A34" s="108"/>
      <c r="B34" s="522"/>
      <c r="C34" s="522"/>
      <c r="D34" s="522"/>
      <c r="E34" s="522"/>
      <c r="F34" s="522"/>
      <c r="G34" s="522"/>
      <c r="H34" s="108"/>
      <c r="I34" s="14"/>
      <c r="J34" s="15"/>
      <c r="K34" s="15"/>
      <c r="L34" s="108"/>
    </row>
    <row r="35" spans="1:12">
      <c r="A35" s="32"/>
      <c r="B35" s="6"/>
      <c r="C35" s="6"/>
      <c r="D35" s="6"/>
      <c r="E35" s="5" t="s">
        <v>31</v>
      </c>
      <c r="F35" s="5"/>
      <c r="G35" s="29"/>
      <c r="H35" s="26"/>
      <c r="I35" s="26"/>
      <c r="J35" s="26"/>
      <c r="K35" s="134">
        <f>+K20</f>
        <v>0</v>
      </c>
      <c r="L35" s="108"/>
    </row>
    <row r="36" spans="1:12">
      <c r="A36" s="32"/>
      <c r="B36" s="6"/>
      <c r="C36" s="6"/>
      <c r="D36" s="6"/>
      <c r="E36" s="5" t="s">
        <v>32</v>
      </c>
      <c r="F36" s="5"/>
      <c r="G36" s="29"/>
      <c r="H36" s="28"/>
      <c r="I36" s="28"/>
      <c r="J36" s="28"/>
      <c r="K36" s="27"/>
      <c r="L36" s="108"/>
    </row>
    <row r="37" spans="1:12">
      <c r="A37" s="32"/>
      <c r="B37" s="4"/>
      <c r="C37" s="4"/>
      <c r="D37" s="4"/>
      <c r="E37" s="30" t="s">
        <v>40</v>
      </c>
      <c r="F37" s="30"/>
      <c r="G37" s="31"/>
      <c r="H37" s="25"/>
      <c r="I37" s="25"/>
      <c r="J37" s="25"/>
      <c r="K37" s="134">
        <f>+K35</f>
        <v>0</v>
      </c>
      <c r="L37" s="108"/>
    </row>
  </sheetData>
  <mergeCells count="20">
    <mergeCell ref="B32:G32"/>
    <mergeCell ref="B33:G33"/>
    <mergeCell ref="B34:G34"/>
    <mergeCell ref="B31:G31"/>
    <mergeCell ref="B30:G30"/>
    <mergeCell ref="B28:G28"/>
    <mergeCell ref="B29:G29"/>
    <mergeCell ref="B25:G25"/>
    <mergeCell ref="B27:G27"/>
    <mergeCell ref="B26:G26"/>
    <mergeCell ref="A2:L2"/>
    <mergeCell ref="A3:L3"/>
    <mergeCell ref="B17:G17"/>
    <mergeCell ref="B23:G23"/>
    <mergeCell ref="B24:G24"/>
    <mergeCell ref="B18:G18"/>
    <mergeCell ref="B19:G19"/>
    <mergeCell ref="B20:G20"/>
    <mergeCell ref="B21:G21"/>
    <mergeCell ref="B22:G22"/>
  </mergeCells>
  <pageMargins left="0.70866141732283472" right="0.19685039370078741" top="0.43307086614173229" bottom="0.74803149606299213" header="0.31496062992125984" footer="0.31496062992125984"/>
  <pageSetup paperSize="9" orientation="portrait" horizontalDpi="1200" verticalDpi="1200" r:id="rId1"/>
  <headerFooter>
    <oddHeader>&amp;Rแบบ ปร. 4 ( พ )แผ่นที่ 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47"/>
  <sheetViews>
    <sheetView view="pageBreakPreview" topLeftCell="A20" zoomScaleSheetLayoutView="100" workbookViewId="0">
      <selection sqref="A1:J43"/>
    </sheetView>
  </sheetViews>
  <sheetFormatPr defaultRowHeight="18"/>
  <cols>
    <col min="1" max="1" width="10.7109375" style="18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69" bestFit="1" customWidth="1"/>
    <col min="13" max="14" width="13.85546875" style="64" bestFit="1" customWidth="1"/>
    <col min="15" max="16384" width="9.140625" style="64"/>
  </cols>
  <sheetData>
    <row r="1" spans="1:14" s="169" customFormat="1">
      <c r="A1" s="504" t="s">
        <v>60</v>
      </c>
      <c r="B1" s="504"/>
      <c r="C1" s="504"/>
      <c r="D1" s="504"/>
      <c r="E1" s="504"/>
      <c r="F1" s="504"/>
      <c r="G1" s="504"/>
      <c r="H1" s="504"/>
      <c r="I1" s="504"/>
      <c r="J1" s="504"/>
      <c r="L1" s="169">
        <v>304000</v>
      </c>
    </row>
    <row r="2" spans="1:14" s="174" customFormat="1">
      <c r="A2" s="170" t="s">
        <v>58</v>
      </c>
      <c r="B2" s="171" t="s">
        <v>57</v>
      </c>
      <c r="C2" s="170"/>
      <c r="D2" s="172"/>
      <c r="E2" s="172"/>
      <c r="F2" s="171"/>
      <c r="G2" s="171"/>
      <c r="H2" s="173"/>
      <c r="I2" s="172"/>
      <c r="J2" s="172"/>
    </row>
    <row r="3" spans="1:14" s="169" customFormat="1">
      <c r="A3" s="170" t="s">
        <v>59</v>
      </c>
      <c r="B3" s="171" t="str">
        <f>+'แบบ ปร.6'!B2</f>
        <v>งานจ้างก่อสร้างโรงเลี้ยง ศฝ.สอ.รฝ. ขนาด 500 คน จำนวน 1 หลัง</v>
      </c>
      <c r="C3" s="173"/>
      <c r="D3" s="171"/>
      <c r="E3" s="175"/>
      <c r="F3" s="171"/>
      <c r="G3" s="173" t="s">
        <v>14</v>
      </c>
      <c r="H3" s="171" t="s">
        <v>412</v>
      </c>
      <c r="I3" s="175"/>
      <c r="J3" s="171"/>
    </row>
    <row r="4" spans="1:14" s="174" customFormat="1">
      <c r="A4" s="170" t="s">
        <v>54</v>
      </c>
      <c r="B4" s="171" t="str">
        <f>+'แบบ ปร.6'!B3</f>
        <v xml:space="preserve"> อ.สัตหีบ  จว.ชลบุรี</v>
      </c>
      <c r="C4" s="171" t="s">
        <v>145</v>
      </c>
      <c r="D4" s="171"/>
      <c r="F4" s="171" t="str">
        <f>+'แบบ ปร.6'!C5</f>
        <v>ศฝ.สอ.รฝ.</v>
      </c>
      <c r="G4" s="172"/>
      <c r="H4" s="172"/>
      <c r="I4" s="172"/>
      <c r="J4" s="172"/>
    </row>
    <row r="5" spans="1:14" s="174" customFormat="1" ht="18.75" thickBot="1">
      <c r="A5" s="176"/>
      <c r="B5" s="177"/>
      <c r="C5" s="177"/>
      <c r="D5" s="177"/>
      <c r="E5" s="177"/>
      <c r="F5" s="177"/>
      <c r="G5" s="177"/>
      <c r="H5" s="177"/>
      <c r="I5" s="178"/>
      <c r="J5" s="178"/>
    </row>
    <row r="6" spans="1:14" ht="18.75" thickTop="1">
      <c r="A6" s="507" t="s">
        <v>61</v>
      </c>
      <c r="B6" s="507" t="s">
        <v>1</v>
      </c>
      <c r="C6" s="509" t="s">
        <v>2</v>
      </c>
      <c r="D6" s="507" t="s">
        <v>3</v>
      </c>
      <c r="E6" s="505" t="s">
        <v>44</v>
      </c>
      <c r="F6" s="506"/>
      <c r="G6" s="505" t="s">
        <v>43</v>
      </c>
      <c r="H6" s="506"/>
      <c r="I6" s="111" t="s">
        <v>42</v>
      </c>
      <c r="J6" s="507" t="s">
        <v>8</v>
      </c>
    </row>
    <row r="7" spans="1:14" ht="18.75" thickBot="1">
      <c r="A7" s="508"/>
      <c r="B7" s="508"/>
      <c r="C7" s="510"/>
      <c r="D7" s="508"/>
      <c r="E7" s="179" t="s">
        <v>4</v>
      </c>
      <c r="F7" s="179" t="s">
        <v>5</v>
      </c>
      <c r="G7" s="179" t="s">
        <v>4</v>
      </c>
      <c r="H7" s="180" t="s">
        <v>5</v>
      </c>
      <c r="I7" s="181" t="s">
        <v>52</v>
      </c>
      <c r="J7" s="508"/>
    </row>
    <row r="8" spans="1:14" ht="21" thickTop="1">
      <c r="A8" s="132"/>
      <c r="B8" s="90" t="s">
        <v>223</v>
      </c>
      <c r="C8" s="76"/>
      <c r="D8" s="77"/>
      <c r="E8" s="78"/>
      <c r="F8" s="79"/>
      <c r="G8" s="79"/>
      <c r="H8" s="80"/>
      <c r="I8" s="81"/>
      <c r="J8" s="65"/>
    </row>
    <row r="9" spans="1:14" s="70" customFormat="1">
      <c r="A9" s="114"/>
      <c r="B9" s="82" t="s">
        <v>224</v>
      </c>
      <c r="C9" s="76">
        <v>70</v>
      </c>
      <c r="D9" s="77" t="s">
        <v>103</v>
      </c>
      <c r="E9" s="79">
        <v>9500</v>
      </c>
      <c r="F9" s="83">
        <f>+E9*C9</f>
        <v>665000</v>
      </c>
      <c r="G9" s="364">
        <v>0</v>
      </c>
      <c r="H9" s="365">
        <f>+G9*C9</f>
        <v>0</v>
      </c>
      <c r="I9" s="86">
        <f>+H9+F9</f>
        <v>665000</v>
      </c>
      <c r="J9" s="67"/>
      <c r="L9" s="182"/>
    </row>
    <row r="10" spans="1:14" s="70" customFormat="1">
      <c r="A10" s="114"/>
      <c r="B10" s="82"/>
      <c r="C10" s="76"/>
      <c r="D10" s="77"/>
      <c r="E10" s="79"/>
      <c r="F10" s="83"/>
      <c r="G10" s="84"/>
      <c r="H10" s="85"/>
      <c r="I10" s="86"/>
      <c r="J10" s="67"/>
      <c r="L10" s="183"/>
      <c r="M10" s="184"/>
      <c r="N10" s="184"/>
    </row>
    <row r="11" spans="1:14" s="70" customFormat="1">
      <c r="A11" s="114"/>
      <c r="B11" s="82"/>
      <c r="C11" s="76"/>
      <c r="D11" s="77"/>
      <c r="E11" s="79"/>
      <c r="F11" s="83"/>
      <c r="G11" s="84"/>
      <c r="H11" s="85"/>
      <c r="I11" s="86"/>
      <c r="J11" s="67"/>
      <c r="K11" s="185"/>
      <c r="L11" s="183"/>
      <c r="M11" s="184"/>
      <c r="N11" s="184"/>
    </row>
    <row r="12" spans="1:14" s="70" customFormat="1">
      <c r="A12" s="114"/>
      <c r="B12" s="82"/>
      <c r="C12" s="76"/>
      <c r="D12" s="77"/>
      <c r="E12" s="79"/>
      <c r="F12" s="83"/>
      <c r="G12" s="84"/>
      <c r="H12" s="85"/>
      <c r="I12" s="86"/>
      <c r="J12" s="67"/>
      <c r="K12" s="185"/>
      <c r="L12" s="183"/>
      <c r="M12" s="184"/>
      <c r="N12" s="184"/>
    </row>
    <row r="13" spans="1:14" s="70" customFormat="1">
      <c r="A13" s="114"/>
      <c r="B13" s="82"/>
      <c r="C13" s="76"/>
      <c r="D13" s="77"/>
      <c r="E13" s="79"/>
      <c r="F13" s="83"/>
      <c r="G13" s="84"/>
      <c r="H13" s="85"/>
      <c r="I13" s="86"/>
      <c r="J13" s="67"/>
      <c r="K13" s="185"/>
      <c r="L13" s="183"/>
      <c r="M13" s="184"/>
      <c r="N13" s="184"/>
    </row>
    <row r="14" spans="1:14" s="70" customFormat="1">
      <c r="A14" s="114"/>
      <c r="B14" s="82"/>
      <c r="C14" s="76"/>
      <c r="D14" s="77"/>
      <c r="E14" s="79"/>
      <c r="F14" s="83"/>
      <c r="G14" s="84"/>
      <c r="H14" s="85"/>
      <c r="I14" s="86"/>
      <c r="J14" s="67"/>
      <c r="K14" s="185"/>
      <c r="L14" s="182"/>
    </row>
    <row r="15" spans="1:14" s="70" customFormat="1">
      <c r="A15" s="114"/>
      <c r="B15" s="82"/>
      <c r="C15" s="76"/>
      <c r="D15" s="77"/>
      <c r="E15" s="79"/>
      <c r="F15" s="83"/>
      <c r="G15" s="84"/>
      <c r="H15" s="85"/>
      <c r="I15" s="86"/>
      <c r="J15" s="67"/>
      <c r="K15" s="185"/>
      <c r="L15" s="182"/>
    </row>
    <row r="16" spans="1:14" s="70" customFormat="1">
      <c r="A16" s="114"/>
      <c r="B16" s="82"/>
      <c r="C16" s="76"/>
      <c r="D16" s="77"/>
      <c r="E16" s="79"/>
      <c r="F16" s="83"/>
      <c r="G16" s="84"/>
      <c r="H16" s="85"/>
      <c r="I16" s="86"/>
      <c r="J16" s="67"/>
      <c r="L16" s="182"/>
    </row>
    <row r="17" spans="1:12" s="70" customFormat="1">
      <c r="A17" s="114"/>
      <c r="B17" s="82"/>
      <c r="C17" s="76"/>
      <c r="D17" s="66"/>
      <c r="E17" s="79"/>
      <c r="F17" s="83"/>
      <c r="G17" s="84"/>
      <c r="H17" s="85"/>
      <c r="I17" s="86"/>
      <c r="J17" s="67"/>
      <c r="K17" s="185"/>
      <c r="L17" s="182"/>
    </row>
    <row r="18" spans="1:12" s="70" customFormat="1">
      <c r="A18" s="114"/>
      <c r="B18" s="82"/>
      <c r="C18" s="76"/>
      <c r="D18" s="66"/>
      <c r="E18" s="79"/>
      <c r="F18" s="83"/>
      <c r="G18" s="84"/>
      <c r="H18" s="85"/>
      <c r="I18" s="86"/>
      <c r="J18" s="67"/>
      <c r="K18" s="185"/>
      <c r="L18" s="182"/>
    </row>
    <row r="19" spans="1:12" s="70" customFormat="1">
      <c r="A19" s="114"/>
      <c r="B19" s="82"/>
      <c r="C19" s="66"/>
      <c r="D19" s="77"/>
      <c r="E19" s="79"/>
      <c r="F19" s="83"/>
      <c r="G19" s="84"/>
      <c r="H19" s="85"/>
      <c r="I19" s="86"/>
      <c r="J19" s="67"/>
      <c r="K19" s="185"/>
      <c r="L19" s="182"/>
    </row>
    <row r="20" spans="1:12" s="70" customFormat="1">
      <c r="A20" s="114"/>
      <c r="B20" s="82"/>
      <c r="C20" s="66"/>
      <c r="D20" s="77"/>
      <c r="E20" s="79"/>
      <c r="F20" s="83"/>
      <c r="G20" s="84"/>
      <c r="H20" s="85"/>
      <c r="I20" s="86"/>
      <c r="J20" s="67"/>
      <c r="K20" s="185"/>
      <c r="L20" s="182"/>
    </row>
    <row r="21" spans="1:12" s="70" customFormat="1">
      <c r="A21" s="114"/>
      <c r="B21" s="82"/>
      <c r="C21" s="76"/>
      <c r="D21" s="77"/>
      <c r="E21" s="79"/>
      <c r="F21" s="83"/>
      <c r="G21" s="84"/>
      <c r="H21" s="85"/>
      <c r="I21" s="86"/>
      <c r="J21" s="67"/>
      <c r="L21" s="182"/>
    </row>
    <row r="22" spans="1:12" s="70" customFormat="1">
      <c r="A22" s="114"/>
      <c r="B22" s="82"/>
      <c r="C22" s="76"/>
      <c r="D22" s="77"/>
      <c r="E22" s="79"/>
      <c r="F22" s="83"/>
      <c r="G22" s="84"/>
      <c r="H22" s="85"/>
      <c r="I22" s="93"/>
      <c r="J22" s="67"/>
      <c r="L22" s="182"/>
    </row>
    <row r="23" spans="1:12" s="70" customFormat="1">
      <c r="A23" s="114"/>
      <c r="B23" s="67"/>
      <c r="C23" s="118"/>
      <c r="D23" s="88"/>
      <c r="E23" s="119"/>
      <c r="F23" s="119"/>
      <c r="G23" s="188"/>
      <c r="H23" s="188"/>
      <c r="I23" s="100"/>
      <c r="J23" s="67"/>
      <c r="L23" s="182"/>
    </row>
    <row r="24" spans="1:12" s="70" customFormat="1">
      <c r="A24" s="114"/>
      <c r="B24" s="66" t="s">
        <v>18</v>
      </c>
      <c r="C24" s="71"/>
      <c r="D24" s="66"/>
      <c r="E24" s="73"/>
      <c r="F24" s="469">
        <f>SUM(F9:F23)</f>
        <v>665000</v>
      </c>
      <c r="G24" s="436"/>
      <c r="H24" s="469">
        <f>SUM(H9:H23)</f>
        <v>0</v>
      </c>
      <c r="I24" s="116"/>
      <c r="J24" s="67"/>
      <c r="L24" s="186">
        <f>SUM(F24+H24)</f>
        <v>665000</v>
      </c>
    </row>
    <row r="25" spans="1:12" s="70" customFormat="1">
      <c r="A25" s="114"/>
      <c r="B25" s="114" t="s">
        <v>53</v>
      </c>
      <c r="C25" s="71"/>
      <c r="D25" s="66"/>
      <c r="E25" s="73"/>
      <c r="F25" s="69"/>
      <c r="G25" s="436"/>
      <c r="H25" s="127"/>
      <c r="I25" s="471">
        <f>SUM(I9:I24)</f>
        <v>665000</v>
      </c>
      <c r="J25" s="67"/>
      <c r="L25" s="182"/>
    </row>
    <row r="26" spans="1:12">
      <c r="A26" s="114"/>
      <c r="B26" s="102" t="s">
        <v>409</v>
      </c>
      <c r="C26" s="66"/>
      <c r="D26" s="66"/>
      <c r="E26" s="453"/>
      <c r="F26" s="453"/>
      <c r="G26" s="453"/>
      <c r="H26" s="453"/>
      <c r="I26" s="116"/>
      <c r="J26" s="67"/>
    </row>
    <row r="27" spans="1:12" s="70" customFormat="1">
      <c r="A27" s="114"/>
      <c r="B27" s="446" t="s">
        <v>398</v>
      </c>
      <c r="C27" s="419"/>
      <c r="D27" s="66"/>
      <c r="E27" s="73"/>
      <c r="F27" s="69"/>
      <c r="G27" s="454"/>
      <c r="H27" s="454"/>
      <c r="I27" s="116"/>
      <c r="J27" s="67"/>
      <c r="L27" s="182"/>
    </row>
    <row r="28" spans="1:12" s="70" customFormat="1">
      <c r="A28" s="114"/>
      <c r="B28" s="68" t="s">
        <v>399</v>
      </c>
      <c r="C28" s="88">
        <v>1</v>
      </c>
      <c r="D28" s="88" t="s">
        <v>103</v>
      </c>
      <c r="E28" s="113">
        <v>116375</v>
      </c>
      <c r="F28" s="113">
        <f>SUM(E28*C28)</f>
        <v>116375</v>
      </c>
      <c r="G28" s="121" t="s">
        <v>95</v>
      </c>
      <c r="H28" s="121" t="s">
        <v>95</v>
      </c>
      <c r="I28" s="86">
        <f>SUM(F28)</f>
        <v>116375</v>
      </c>
      <c r="J28" s="67"/>
      <c r="L28" s="182"/>
    </row>
    <row r="29" spans="1:12" s="70" customFormat="1">
      <c r="A29" s="114"/>
      <c r="B29" s="68" t="s">
        <v>400</v>
      </c>
      <c r="C29" s="419"/>
      <c r="D29" s="66"/>
      <c r="E29" s="73"/>
      <c r="F29" s="69"/>
      <c r="G29" s="454"/>
      <c r="H29" s="454"/>
      <c r="I29" s="116"/>
      <c r="J29" s="67"/>
      <c r="L29" s="182"/>
    </row>
    <row r="30" spans="1:12" s="70" customFormat="1">
      <c r="A30" s="114"/>
      <c r="B30" s="68" t="s">
        <v>401</v>
      </c>
      <c r="C30" s="419"/>
      <c r="D30" s="66"/>
      <c r="E30" s="73"/>
      <c r="F30" s="69"/>
      <c r="G30" s="454"/>
      <c r="H30" s="454"/>
      <c r="I30" s="116"/>
      <c r="J30" s="67"/>
      <c r="L30" s="182"/>
    </row>
    <row r="31" spans="1:12" s="70" customFormat="1">
      <c r="A31" s="114"/>
      <c r="B31" s="68" t="s">
        <v>402</v>
      </c>
      <c r="C31" s="66"/>
      <c r="D31" s="66"/>
      <c r="E31" s="73"/>
      <c r="F31" s="69"/>
      <c r="G31" s="127"/>
      <c r="H31" s="127"/>
      <c r="I31" s="116"/>
      <c r="J31" s="67"/>
      <c r="L31" s="182"/>
    </row>
    <row r="32" spans="1:12">
      <c r="A32" s="114"/>
      <c r="B32" s="68" t="s">
        <v>403</v>
      </c>
      <c r="C32" s="71"/>
      <c r="D32" s="66"/>
      <c r="E32" s="73"/>
      <c r="F32" s="69"/>
      <c r="G32" s="454"/>
      <c r="H32" s="454"/>
      <c r="I32" s="116"/>
      <c r="J32" s="67"/>
    </row>
    <row r="33" spans="1:12">
      <c r="A33" s="114"/>
      <c r="B33" s="446" t="s">
        <v>404</v>
      </c>
      <c r="C33" s="67"/>
      <c r="D33" s="67"/>
      <c r="E33" s="67"/>
      <c r="F33" s="67"/>
      <c r="G33" s="67"/>
      <c r="H33" s="67"/>
      <c r="I33" s="67"/>
      <c r="J33" s="67"/>
    </row>
    <row r="34" spans="1:12">
      <c r="A34" s="114"/>
      <c r="B34" s="67" t="s">
        <v>405</v>
      </c>
      <c r="C34" s="88">
        <v>1</v>
      </c>
      <c r="D34" s="88" t="s">
        <v>141</v>
      </c>
      <c r="E34" s="113">
        <v>223630</v>
      </c>
      <c r="F34" s="113">
        <f>SUM(E34*C34)</f>
        <v>223630</v>
      </c>
      <c r="G34" s="121" t="s">
        <v>95</v>
      </c>
      <c r="H34" s="121" t="s">
        <v>95</v>
      </c>
      <c r="I34" s="86">
        <f>SUM(F34)</f>
        <v>223630</v>
      </c>
      <c r="J34" s="67"/>
      <c r="K34" s="64" t="s">
        <v>406</v>
      </c>
    </row>
    <row r="35" spans="1:12">
      <c r="A35" s="114"/>
      <c r="B35" s="67" t="s">
        <v>407</v>
      </c>
      <c r="C35" s="67"/>
      <c r="D35" s="67"/>
      <c r="E35" s="67"/>
      <c r="F35" s="67"/>
      <c r="G35" s="67"/>
      <c r="H35" s="67"/>
      <c r="I35" s="67"/>
      <c r="J35" s="67"/>
    </row>
    <row r="36" spans="1:12">
      <c r="A36" s="114"/>
      <c r="B36" s="68"/>
      <c r="C36" s="66"/>
      <c r="D36" s="66"/>
      <c r="E36" s="73"/>
      <c r="F36" s="69"/>
      <c r="G36" s="127"/>
      <c r="H36" s="127"/>
      <c r="I36" s="116"/>
      <c r="J36" s="67"/>
    </row>
    <row r="37" spans="1:12">
      <c r="A37" s="114"/>
      <c r="B37" s="68"/>
      <c r="C37" s="66"/>
      <c r="D37" s="66"/>
      <c r="E37" s="73"/>
      <c r="F37" s="69"/>
      <c r="G37" s="127"/>
      <c r="H37" s="127"/>
      <c r="I37" s="116"/>
      <c r="J37" s="67"/>
    </row>
    <row r="38" spans="1:12">
      <c r="A38" s="114"/>
      <c r="B38" s="68"/>
      <c r="C38" s="66"/>
      <c r="D38" s="66"/>
      <c r="E38" s="73"/>
      <c r="F38" s="69"/>
      <c r="G38" s="127"/>
      <c r="H38" s="127"/>
      <c r="I38" s="116"/>
      <c r="J38" s="67"/>
    </row>
    <row r="39" spans="1:12">
      <c r="A39" s="114"/>
      <c r="B39" s="68"/>
      <c r="C39" s="71"/>
      <c r="D39" s="66"/>
      <c r="E39" s="73"/>
      <c r="F39" s="69"/>
      <c r="G39" s="454"/>
      <c r="H39" s="454"/>
      <c r="I39" s="116"/>
      <c r="J39" s="67"/>
    </row>
    <row r="40" spans="1:12">
      <c r="A40" s="114"/>
      <c r="B40" s="68"/>
      <c r="C40" s="71"/>
      <c r="D40" s="66"/>
      <c r="E40" s="73"/>
      <c r="F40" s="69"/>
      <c r="G40" s="454"/>
      <c r="H40" s="454"/>
      <c r="I40" s="116"/>
      <c r="J40" s="67"/>
    </row>
    <row r="41" spans="1:12">
      <c r="A41" s="114"/>
      <c r="B41" s="68"/>
      <c r="C41" s="71"/>
      <c r="D41" s="66"/>
      <c r="E41" s="73"/>
      <c r="F41" s="69"/>
      <c r="G41" s="454"/>
      <c r="H41" s="454"/>
      <c r="I41" s="116"/>
      <c r="J41" s="67"/>
      <c r="K41" s="72"/>
    </row>
    <row r="42" spans="1:12" ht="20.25">
      <c r="A42" s="123"/>
      <c r="B42" s="158" t="s">
        <v>18</v>
      </c>
      <c r="C42" s="71"/>
      <c r="D42" s="66"/>
      <c r="E42" s="73"/>
      <c r="F42" s="115">
        <f>SUM(F27:F41)</f>
        <v>340005</v>
      </c>
      <c r="G42" s="436"/>
      <c r="H42" s="115">
        <f>SUM(H27:H41)</f>
        <v>0</v>
      </c>
      <c r="I42" s="116"/>
      <c r="J42" s="67"/>
      <c r="K42" s="422">
        <f>+H42+F42</f>
        <v>340005</v>
      </c>
      <c r="L42" s="174" t="s">
        <v>408</v>
      </c>
    </row>
    <row r="43" spans="1:12">
      <c r="A43" s="123"/>
      <c r="B43" s="114" t="s">
        <v>53</v>
      </c>
      <c r="C43" s="71"/>
      <c r="D43" s="66"/>
      <c r="E43" s="73"/>
      <c r="F43" s="69"/>
      <c r="G43" s="436"/>
      <c r="H43" s="437"/>
      <c r="I43" s="117">
        <f>SUM(I27:I41)</f>
        <v>340005</v>
      </c>
      <c r="J43" s="67"/>
      <c r="K43" s="72"/>
    </row>
    <row r="47" spans="1:12">
      <c r="B47" s="64" t="s">
        <v>9</v>
      </c>
    </row>
  </sheetData>
  <mergeCells count="8">
    <mergeCell ref="A1:J1"/>
    <mergeCell ref="E6:F6"/>
    <mergeCell ref="G6:H6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J19" sqref="J19"/>
    </sheetView>
  </sheetViews>
  <sheetFormatPr defaultRowHeight="24"/>
  <cols>
    <col min="1" max="1" width="13.85546875" style="10" customWidth="1"/>
    <col min="2" max="5" width="9.140625" style="10"/>
    <col min="11" max="12" width="10.7109375" bestFit="1" customWidth="1"/>
  </cols>
  <sheetData>
    <row r="1" spans="1:17" ht="22.5" thickBot="1">
      <c r="A1" s="51">
        <v>1</v>
      </c>
      <c r="B1" s="51">
        <v>2</v>
      </c>
      <c r="C1" s="51">
        <v>3</v>
      </c>
      <c r="D1" s="51">
        <v>4</v>
      </c>
      <c r="E1" s="51">
        <v>5</v>
      </c>
      <c r="F1" s="51">
        <v>6</v>
      </c>
      <c r="G1" s="51">
        <v>7</v>
      </c>
      <c r="H1" s="51">
        <v>8</v>
      </c>
      <c r="I1" s="51">
        <v>9</v>
      </c>
      <c r="J1" s="51">
        <v>10</v>
      </c>
      <c r="K1" s="51">
        <v>11</v>
      </c>
      <c r="L1" s="51">
        <v>12</v>
      </c>
      <c r="M1" s="51">
        <v>13</v>
      </c>
      <c r="N1" s="51">
        <v>14</v>
      </c>
      <c r="O1" s="51">
        <v>15</v>
      </c>
      <c r="P1" s="51">
        <v>16</v>
      </c>
      <c r="Q1" s="51">
        <v>17</v>
      </c>
    </row>
    <row r="2" spans="1:17" ht="30.75" thickTop="1" thickBot="1">
      <c r="A2" s="40" t="s">
        <v>79</v>
      </c>
      <c r="B2" s="58">
        <v>0</v>
      </c>
      <c r="C2" s="59"/>
      <c r="D2" s="59"/>
      <c r="E2" s="60"/>
      <c r="F2" s="61">
        <v>0.05</v>
      </c>
      <c r="G2" s="62"/>
      <c r="H2" s="62"/>
      <c r="I2" s="63"/>
      <c r="J2" s="61">
        <v>0.1</v>
      </c>
      <c r="K2" s="62"/>
      <c r="L2" s="62"/>
      <c r="M2" s="63"/>
      <c r="N2" s="523"/>
      <c r="O2" s="524"/>
      <c r="P2" s="524"/>
      <c r="Q2" s="525"/>
    </row>
    <row r="3" spans="1:17" ht="25.5" thickTop="1" thickBot="1">
      <c r="A3" s="33"/>
      <c r="B3" s="526" t="s">
        <v>35</v>
      </c>
      <c r="C3" s="527"/>
      <c r="D3" s="527"/>
      <c r="E3" s="528"/>
      <c r="F3" s="526" t="s">
        <v>35</v>
      </c>
      <c r="G3" s="527"/>
      <c r="H3" s="527"/>
      <c r="I3" s="528"/>
      <c r="J3" s="526" t="s">
        <v>35</v>
      </c>
      <c r="K3" s="527"/>
      <c r="L3" s="527"/>
      <c r="M3" s="528"/>
      <c r="N3" s="526"/>
      <c r="O3" s="527"/>
      <c r="P3" s="527"/>
      <c r="Q3" s="528"/>
    </row>
    <row r="4" spans="1:17" ht="24.75" thickTop="1">
      <c r="A4" s="34" t="s">
        <v>36</v>
      </c>
      <c r="B4" s="57">
        <v>0</v>
      </c>
      <c r="C4" s="47">
        <v>0.05</v>
      </c>
      <c r="D4" s="38">
        <v>0.1</v>
      </c>
      <c r="E4" s="39">
        <v>0.15</v>
      </c>
      <c r="F4" s="37">
        <v>0</v>
      </c>
      <c r="G4" s="38">
        <v>0.05</v>
      </c>
      <c r="H4" s="38">
        <v>0.1</v>
      </c>
      <c r="I4" s="39">
        <v>0.15</v>
      </c>
      <c r="J4" s="57">
        <v>0</v>
      </c>
      <c r="K4" s="47">
        <v>0.05</v>
      </c>
      <c r="L4" s="38">
        <v>0.1</v>
      </c>
      <c r="M4" s="39">
        <v>0.15</v>
      </c>
      <c r="N4" s="37"/>
      <c r="O4" s="38"/>
      <c r="P4" s="38"/>
      <c r="Q4" s="39"/>
    </row>
    <row r="5" spans="1:17">
      <c r="A5" s="35">
        <v>0</v>
      </c>
      <c r="B5" s="41">
        <v>1.3073999999999999</v>
      </c>
      <c r="C5" s="48">
        <v>1.3065</v>
      </c>
      <c r="D5" s="43">
        <v>1.3055000000000001</v>
      </c>
      <c r="E5" s="45">
        <v>1.3046</v>
      </c>
      <c r="F5" s="41">
        <v>1.3078000000000001</v>
      </c>
      <c r="G5" s="42">
        <v>1.3069</v>
      </c>
      <c r="H5" s="43">
        <v>1.3059000000000001</v>
      </c>
      <c r="I5" s="45">
        <v>1.3049999999999999</v>
      </c>
      <c r="J5" s="41">
        <v>1.3082</v>
      </c>
      <c r="K5" s="48">
        <v>1.3072999999999999</v>
      </c>
      <c r="L5" s="43">
        <v>1.3063</v>
      </c>
      <c r="M5" s="45">
        <v>1.3053999999999999</v>
      </c>
      <c r="N5" s="41"/>
      <c r="O5" s="42"/>
      <c r="P5" s="43"/>
      <c r="Q5" s="45"/>
    </row>
    <row r="6" spans="1:17">
      <c r="A6" s="35">
        <v>0.5</v>
      </c>
      <c r="B6" s="41">
        <v>1.3073999999999999</v>
      </c>
      <c r="C6" s="48">
        <v>1.3065</v>
      </c>
      <c r="D6" s="43">
        <v>1.3055000000000001</v>
      </c>
      <c r="E6" s="45">
        <v>1.3046</v>
      </c>
      <c r="F6" s="41">
        <v>1.3078000000000001</v>
      </c>
      <c r="G6" s="42">
        <v>1.3069</v>
      </c>
      <c r="H6" s="43">
        <v>1.3059000000000001</v>
      </c>
      <c r="I6" s="45">
        <v>1.3049999999999999</v>
      </c>
      <c r="J6" s="41">
        <v>1.3082</v>
      </c>
      <c r="K6" s="48">
        <v>1.3072999999999999</v>
      </c>
      <c r="L6" s="43">
        <v>1.3063</v>
      </c>
      <c r="M6" s="45">
        <v>1.3053999999999999</v>
      </c>
      <c r="N6" s="41"/>
      <c r="O6" s="42"/>
      <c r="P6" s="43"/>
      <c r="Q6" s="45"/>
    </row>
    <row r="7" spans="1:17">
      <c r="A7" s="35">
        <v>1</v>
      </c>
      <c r="B7" s="41">
        <v>1.3049999999999999</v>
      </c>
      <c r="C7" s="48">
        <v>1.304</v>
      </c>
      <c r="D7" s="43">
        <v>1.3028999999999999</v>
      </c>
      <c r="E7" s="45">
        <v>1.3018000000000001</v>
      </c>
      <c r="F7" s="41">
        <v>1.3056000000000001</v>
      </c>
      <c r="G7" s="42">
        <v>1.3045</v>
      </c>
      <c r="H7" s="43">
        <v>1.3033999999999999</v>
      </c>
      <c r="I7" s="45">
        <v>1.3024</v>
      </c>
      <c r="J7" s="41">
        <v>1.3061</v>
      </c>
      <c r="K7" s="48">
        <v>1.3049999999999999</v>
      </c>
      <c r="L7" s="43">
        <v>1.304</v>
      </c>
      <c r="M7" s="45">
        <v>1.3028999999999999</v>
      </c>
      <c r="N7" s="41"/>
      <c r="O7" s="42"/>
      <c r="P7" s="43"/>
      <c r="Q7" s="45"/>
    </row>
    <row r="8" spans="1:17">
      <c r="A8" s="35">
        <v>2</v>
      </c>
      <c r="B8" s="41">
        <v>1.3035000000000001</v>
      </c>
      <c r="C8" s="48">
        <v>1.3023</v>
      </c>
      <c r="D8" s="43">
        <v>1.3010999999999999</v>
      </c>
      <c r="E8" s="45">
        <v>1.2999000000000001</v>
      </c>
      <c r="F8" s="41">
        <v>1.3042</v>
      </c>
      <c r="G8" s="42">
        <v>1.3029999999999999</v>
      </c>
      <c r="H8" s="43">
        <v>1.3018000000000001</v>
      </c>
      <c r="I8" s="45">
        <v>1.3006</v>
      </c>
      <c r="J8" s="41">
        <v>1.3048999999999999</v>
      </c>
      <c r="K8" s="48">
        <v>1.3036000000000001</v>
      </c>
      <c r="L8" s="43">
        <v>1.3024</v>
      </c>
      <c r="M8" s="45">
        <v>1.3011999999999999</v>
      </c>
      <c r="N8" s="41"/>
      <c r="O8" s="42"/>
      <c r="P8" s="43"/>
      <c r="Q8" s="45"/>
    </row>
    <row r="9" spans="1:17">
      <c r="A9" s="35">
        <v>5</v>
      </c>
      <c r="B9" s="41">
        <v>1.3003</v>
      </c>
      <c r="C9" s="48">
        <v>1.2987</v>
      </c>
      <c r="D9" s="43">
        <v>1.2970999999999999</v>
      </c>
      <c r="E9" s="45">
        <v>1.2955000000000001</v>
      </c>
      <c r="F9" s="41">
        <v>1.3013999999999999</v>
      </c>
      <c r="G9" s="42">
        <v>1.2998000000000001</v>
      </c>
      <c r="H9" s="43">
        <v>1.2982</v>
      </c>
      <c r="I9" s="45">
        <v>1.2966</v>
      </c>
      <c r="J9" s="41">
        <v>1.3025</v>
      </c>
      <c r="K9" s="48">
        <v>1.3008999999999999</v>
      </c>
      <c r="L9" s="43">
        <v>1.2992999999999999</v>
      </c>
      <c r="M9" s="45">
        <v>1.2976000000000001</v>
      </c>
      <c r="N9" s="41"/>
      <c r="O9" s="42"/>
      <c r="P9" s="43"/>
      <c r="Q9" s="45"/>
    </row>
    <row r="10" spans="1:17">
      <c r="A10" s="35">
        <v>10</v>
      </c>
      <c r="B10" s="41">
        <v>1.2943</v>
      </c>
      <c r="C10" s="48">
        <v>1.2922</v>
      </c>
      <c r="D10" s="43">
        <v>1.2901</v>
      </c>
      <c r="E10" s="45">
        <v>1.2879</v>
      </c>
      <c r="F10" s="41">
        <v>1.296</v>
      </c>
      <c r="G10" s="42">
        <v>1.2938000000000001</v>
      </c>
      <c r="H10" s="43">
        <v>1.2917000000000001</v>
      </c>
      <c r="I10" s="45">
        <v>1.2895000000000001</v>
      </c>
      <c r="J10" s="41">
        <v>1.2976000000000001</v>
      </c>
      <c r="K10" s="48">
        <v>1.2954000000000001</v>
      </c>
      <c r="L10" s="43">
        <v>1.2932999999999999</v>
      </c>
      <c r="M10" s="45">
        <v>1.2910999999999999</v>
      </c>
      <c r="N10" s="41"/>
      <c r="O10" s="42"/>
      <c r="P10" s="43"/>
      <c r="Q10" s="45"/>
    </row>
    <row r="11" spans="1:17">
      <c r="A11" s="35">
        <v>15</v>
      </c>
      <c r="B11" s="41">
        <v>1.2594000000000001</v>
      </c>
      <c r="C11" s="48">
        <v>1.2573000000000001</v>
      </c>
      <c r="D11" s="43">
        <v>1.2551000000000001</v>
      </c>
      <c r="E11" s="45">
        <v>1.2529999999999999</v>
      </c>
      <c r="F11" s="41">
        <v>1.2609999999999999</v>
      </c>
      <c r="G11" s="42">
        <v>1.2588999999999999</v>
      </c>
      <c r="H11" s="43">
        <v>1.2566999999999999</v>
      </c>
      <c r="I11" s="45">
        <v>1.2545999999999999</v>
      </c>
      <c r="J11" s="41">
        <v>1.2625999999999999</v>
      </c>
      <c r="K11" s="48">
        <v>1.2605</v>
      </c>
      <c r="L11" s="43">
        <v>1.2583</v>
      </c>
      <c r="M11" s="45">
        <v>1.2562</v>
      </c>
      <c r="N11" s="41"/>
      <c r="O11" s="42"/>
      <c r="P11" s="43"/>
      <c r="Q11" s="45"/>
    </row>
    <row r="12" spans="1:17">
      <c r="A12" s="35">
        <v>20</v>
      </c>
      <c r="B12" s="41">
        <v>1.2518</v>
      </c>
      <c r="C12" s="48">
        <v>1.2495000000000001</v>
      </c>
      <c r="D12" s="43">
        <v>1.2472000000000001</v>
      </c>
      <c r="E12" s="45">
        <v>1.2450000000000001</v>
      </c>
      <c r="F12" s="41">
        <v>1.2535000000000001</v>
      </c>
      <c r="G12" s="42">
        <v>1.2513000000000001</v>
      </c>
      <c r="H12" s="43">
        <v>1.2490000000000001</v>
      </c>
      <c r="I12" s="45">
        <v>1.2466999999999999</v>
      </c>
      <c r="J12" s="41">
        <v>1.2553000000000001</v>
      </c>
      <c r="K12" s="48">
        <v>1.2529999999999999</v>
      </c>
      <c r="L12" s="43">
        <v>1.2057</v>
      </c>
      <c r="M12" s="45">
        <v>1.2484</v>
      </c>
      <c r="N12" s="41"/>
      <c r="O12" s="42"/>
      <c r="P12" s="43"/>
      <c r="Q12" s="45"/>
    </row>
    <row r="13" spans="1:17">
      <c r="A13" s="35">
        <v>25</v>
      </c>
      <c r="B13" s="41">
        <v>1.2248000000000001</v>
      </c>
      <c r="C13" s="48">
        <v>1.2224999999999999</v>
      </c>
      <c r="D13" s="43">
        <v>1.2202999999999999</v>
      </c>
      <c r="E13" s="45">
        <v>1.218</v>
      </c>
      <c r="F13" s="41">
        <v>1.2265999999999999</v>
      </c>
      <c r="G13" s="42">
        <v>1.2242999999999999</v>
      </c>
      <c r="H13" s="43">
        <v>1.222</v>
      </c>
      <c r="I13" s="45">
        <v>1.2197</v>
      </c>
      <c r="J13" s="41">
        <v>1.2282999999999999</v>
      </c>
      <c r="K13" s="48">
        <v>1.226</v>
      </c>
      <c r="L13" s="43">
        <v>1.2237</v>
      </c>
      <c r="M13" s="45">
        <v>1.2215</v>
      </c>
      <c r="N13" s="41"/>
      <c r="O13" s="42"/>
      <c r="P13" s="43"/>
      <c r="Q13" s="45"/>
    </row>
    <row r="14" spans="1:17">
      <c r="A14" s="35">
        <v>30</v>
      </c>
      <c r="B14" s="41">
        <v>1.2163999999999999</v>
      </c>
      <c r="C14" s="48">
        <v>1.214</v>
      </c>
      <c r="D14" s="43">
        <v>1.2116</v>
      </c>
      <c r="E14" s="45">
        <v>1.2092000000000001</v>
      </c>
      <c r="F14" s="41">
        <v>1.2182999999999999</v>
      </c>
      <c r="G14" s="42">
        <v>1.2159</v>
      </c>
      <c r="H14" s="43">
        <v>1.2135</v>
      </c>
      <c r="I14" s="45">
        <v>1.2111000000000001</v>
      </c>
      <c r="J14" s="41">
        <v>1.2202</v>
      </c>
      <c r="K14" s="48">
        <v>1.2178</v>
      </c>
      <c r="L14" s="43">
        <v>1.2154</v>
      </c>
      <c r="M14" s="45">
        <v>1.2130000000000001</v>
      </c>
      <c r="N14" s="41"/>
      <c r="O14" s="42"/>
      <c r="P14" s="43"/>
      <c r="Q14" s="45"/>
    </row>
    <row r="15" spans="1:17">
      <c r="A15" s="35">
        <v>40</v>
      </c>
      <c r="B15" s="41">
        <v>1.2161</v>
      </c>
      <c r="C15" s="48">
        <v>1.2136</v>
      </c>
      <c r="D15" s="43">
        <v>1.2112000000000001</v>
      </c>
      <c r="E15" s="45">
        <v>1.2088000000000001</v>
      </c>
      <c r="F15" s="41">
        <v>1.2179</v>
      </c>
      <c r="G15" s="42">
        <v>1.2155</v>
      </c>
      <c r="H15" s="43">
        <v>1.2131000000000001</v>
      </c>
      <c r="I15" s="45">
        <v>1.2107000000000001</v>
      </c>
      <c r="J15" s="41">
        <v>1.2198</v>
      </c>
      <c r="K15" s="48">
        <v>1.2174</v>
      </c>
      <c r="L15" s="43">
        <v>1.2150000000000001</v>
      </c>
      <c r="M15" s="45">
        <v>1.2125999999999999</v>
      </c>
      <c r="N15" s="41"/>
      <c r="O15" s="42"/>
      <c r="P15" s="43"/>
      <c r="Q15" s="45"/>
    </row>
    <row r="16" spans="1:17">
      <c r="A16" s="35">
        <v>50</v>
      </c>
      <c r="B16" s="41">
        <v>1.2159</v>
      </c>
      <c r="C16" s="48">
        <v>1.2133</v>
      </c>
      <c r="D16" s="43">
        <v>1.2105999999999999</v>
      </c>
      <c r="E16" s="45">
        <v>1.2079</v>
      </c>
      <c r="F16" s="41">
        <v>1.2181</v>
      </c>
      <c r="G16" s="42">
        <v>1.2154</v>
      </c>
      <c r="H16" s="43">
        <v>1.2126999999999999</v>
      </c>
      <c r="I16" s="45">
        <v>1.2101</v>
      </c>
      <c r="J16" s="41">
        <v>1.2202</v>
      </c>
      <c r="K16" s="48">
        <v>1.2175</v>
      </c>
      <c r="L16" s="43">
        <v>1.2149000000000001</v>
      </c>
      <c r="M16" s="45">
        <v>1.2121999999999999</v>
      </c>
      <c r="N16" s="41"/>
      <c r="O16" s="42"/>
      <c r="P16" s="43"/>
      <c r="Q16" s="45"/>
    </row>
    <row r="17" spans="1:17">
      <c r="A17" s="35">
        <v>60</v>
      </c>
      <c r="B17" s="41">
        <v>1.2060999999999999</v>
      </c>
      <c r="C17" s="48">
        <v>1.2035</v>
      </c>
      <c r="D17" s="43">
        <v>1.2008000000000001</v>
      </c>
      <c r="E17" s="45">
        <v>1.1980999999999999</v>
      </c>
      <c r="F17" s="41">
        <v>1.2082999999999999</v>
      </c>
      <c r="G17" s="42">
        <v>1.2056</v>
      </c>
      <c r="H17" s="43">
        <v>1.2029000000000001</v>
      </c>
      <c r="I17" s="45">
        <v>1.2001999999999999</v>
      </c>
      <c r="J17" s="41">
        <v>1.2103999999999999</v>
      </c>
      <c r="K17" s="48">
        <v>1.2077</v>
      </c>
      <c r="L17" s="43">
        <v>1.2054</v>
      </c>
      <c r="M17" s="45">
        <v>1.2023999999999999</v>
      </c>
      <c r="N17" s="41"/>
      <c r="O17" s="42"/>
      <c r="P17" s="43"/>
      <c r="Q17" s="45"/>
    </row>
    <row r="18" spans="1:17">
      <c r="A18" s="35">
        <v>70</v>
      </c>
      <c r="B18" s="41">
        <v>1.2050000000000001</v>
      </c>
      <c r="C18" s="48">
        <v>1.2021999999999999</v>
      </c>
      <c r="D18" s="43">
        <v>1.1994</v>
      </c>
      <c r="E18" s="45">
        <v>1.1966000000000001</v>
      </c>
      <c r="F18" s="41">
        <v>1.2073</v>
      </c>
      <c r="G18" s="42">
        <v>1.2044999999999999</v>
      </c>
      <c r="H18" s="43">
        <v>1.2017</v>
      </c>
      <c r="I18" s="45">
        <v>1.1989000000000001</v>
      </c>
      <c r="J18" s="41">
        <v>1.2096</v>
      </c>
      <c r="K18" s="48">
        <v>1.2068000000000001</v>
      </c>
      <c r="L18" s="43">
        <v>1.204</v>
      </c>
      <c r="M18" s="45">
        <v>1.2011000000000001</v>
      </c>
      <c r="N18" s="41"/>
      <c r="O18" s="42"/>
      <c r="P18" s="43"/>
      <c r="Q18" s="45"/>
    </row>
    <row r="19" spans="1:17">
      <c r="A19" s="35">
        <v>80</v>
      </c>
      <c r="B19" s="41">
        <v>1.2050000000000001</v>
      </c>
      <c r="C19" s="48">
        <v>1.2021999999999999</v>
      </c>
      <c r="D19" s="43">
        <v>1.1994</v>
      </c>
      <c r="E19" s="45">
        <v>1.1966000000000001</v>
      </c>
      <c r="F19" s="41">
        <v>1.2073</v>
      </c>
      <c r="G19" s="42">
        <v>1.2044999999999999</v>
      </c>
      <c r="H19" s="43">
        <v>1.2017</v>
      </c>
      <c r="I19" s="45">
        <v>1.1989000000000001</v>
      </c>
      <c r="J19" s="41">
        <v>1.2096</v>
      </c>
      <c r="K19" s="48">
        <v>1.2068000000000001</v>
      </c>
      <c r="L19" s="43">
        <v>1.204</v>
      </c>
      <c r="M19" s="45">
        <v>1.2011000000000001</v>
      </c>
      <c r="N19" s="41"/>
      <c r="O19" s="42"/>
      <c r="P19" s="43"/>
      <c r="Q19" s="45"/>
    </row>
    <row r="20" spans="1:17">
      <c r="A20" s="35">
        <v>90</v>
      </c>
      <c r="B20" s="41">
        <v>1.2049000000000001</v>
      </c>
      <c r="C20" s="48">
        <v>1.202</v>
      </c>
      <c r="D20" s="43">
        <v>1.1991000000000001</v>
      </c>
      <c r="E20" s="45">
        <v>1.1960999999999999</v>
      </c>
      <c r="F20" s="41">
        <v>1.2073</v>
      </c>
      <c r="G20" s="42">
        <v>1.2043999999999999</v>
      </c>
      <c r="H20" s="43">
        <v>1.2015</v>
      </c>
      <c r="I20" s="45">
        <v>1.1984999999999999</v>
      </c>
      <c r="J20" s="41">
        <v>1.2098</v>
      </c>
      <c r="K20" s="48">
        <v>1.2068000000000001</v>
      </c>
      <c r="L20" s="43">
        <v>1.2039</v>
      </c>
      <c r="M20" s="45">
        <v>1.2009000000000001</v>
      </c>
      <c r="N20" s="41"/>
      <c r="O20" s="42"/>
      <c r="P20" s="43"/>
      <c r="Q20" s="45"/>
    </row>
    <row r="21" spans="1:17">
      <c r="A21" s="35">
        <v>100</v>
      </c>
      <c r="B21" s="41">
        <v>1.2049000000000001</v>
      </c>
      <c r="C21" s="48">
        <v>1.202</v>
      </c>
      <c r="D21" s="43">
        <v>1.1991000000000001</v>
      </c>
      <c r="E21" s="45">
        <v>1.1960999999999999</v>
      </c>
      <c r="F21" s="41">
        <v>1.2073</v>
      </c>
      <c r="G21" s="42">
        <v>1.2043999999999999</v>
      </c>
      <c r="H21" s="43">
        <v>1.2015</v>
      </c>
      <c r="I21" s="45">
        <v>1.1984999999999999</v>
      </c>
      <c r="J21" s="41">
        <v>1.2098</v>
      </c>
      <c r="K21" s="48">
        <v>1.2068000000000001</v>
      </c>
      <c r="L21" s="43">
        <v>1.2039</v>
      </c>
      <c r="M21" s="45">
        <v>1.2009000000000001</v>
      </c>
      <c r="N21" s="41"/>
      <c r="O21" s="42"/>
      <c r="P21" s="43"/>
      <c r="Q21" s="45"/>
    </row>
    <row r="22" spans="1:17">
      <c r="A22" s="35">
        <v>150</v>
      </c>
      <c r="B22" s="41">
        <v>1.2022999999999999</v>
      </c>
      <c r="C22" s="48">
        <v>1.1991000000000001</v>
      </c>
      <c r="D22" s="43">
        <v>1.1958</v>
      </c>
      <c r="E22" s="45">
        <v>1.1926000000000001</v>
      </c>
      <c r="F22" s="41">
        <v>1.2049000000000001</v>
      </c>
      <c r="G22" s="42">
        <v>1.2017</v>
      </c>
      <c r="H22" s="43">
        <v>1.1984999999999999</v>
      </c>
      <c r="I22" s="45">
        <v>1.1953</v>
      </c>
      <c r="J22" s="41">
        <v>1.2076</v>
      </c>
      <c r="K22" s="48">
        <v>1.2043999999999999</v>
      </c>
      <c r="L22" s="43">
        <v>1.2012</v>
      </c>
      <c r="M22" s="45">
        <v>1.198</v>
      </c>
      <c r="N22" s="41"/>
      <c r="O22" s="42"/>
      <c r="P22" s="43"/>
      <c r="Q22" s="45"/>
    </row>
    <row r="23" spans="1:17">
      <c r="A23" s="35">
        <v>200</v>
      </c>
      <c r="B23" s="41">
        <v>1.2022999999999999</v>
      </c>
      <c r="C23" s="48">
        <v>1.1988000000000001</v>
      </c>
      <c r="D23" s="43">
        <v>1.1953</v>
      </c>
      <c r="E23" s="45">
        <v>1.1919</v>
      </c>
      <c r="F23" s="41">
        <v>1.2052</v>
      </c>
      <c r="G23" s="42">
        <v>1.2018</v>
      </c>
      <c r="H23" s="43">
        <v>1.1982999999999999</v>
      </c>
      <c r="I23" s="45">
        <v>1.1948000000000001</v>
      </c>
      <c r="J23" s="41">
        <v>1.2081999999999999</v>
      </c>
      <c r="K23" s="48">
        <v>1.2047000000000001</v>
      </c>
      <c r="L23" s="43">
        <v>1.2012</v>
      </c>
      <c r="M23" s="45">
        <v>1.1977</v>
      </c>
      <c r="N23" s="41"/>
      <c r="O23" s="42"/>
      <c r="P23" s="43"/>
      <c r="Q23" s="45"/>
    </row>
    <row r="24" spans="1:17">
      <c r="A24" s="35">
        <v>250</v>
      </c>
      <c r="B24" s="41">
        <v>1.2013</v>
      </c>
      <c r="C24" s="48">
        <v>1.1973</v>
      </c>
      <c r="D24" s="43">
        <v>1.1933</v>
      </c>
      <c r="E24" s="45">
        <v>1.1893</v>
      </c>
      <c r="F24" s="41">
        <v>1.2048000000000001</v>
      </c>
      <c r="G24" s="42">
        <v>1.2008000000000001</v>
      </c>
      <c r="H24" s="43">
        <v>1.1968000000000001</v>
      </c>
      <c r="I24" s="45">
        <v>1.1928000000000001</v>
      </c>
      <c r="J24" s="41">
        <v>1.2082999999999999</v>
      </c>
      <c r="K24" s="48">
        <v>1.2042999999999999</v>
      </c>
      <c r="L24" s="43">
        <v>1.2002999999999999</v>
      </c>
      <c r="M24" s="45">
        <v>1.1962999999999999</v>
      </c>
      <c r="N24" s="41"/>
      <c r="O24" s="42"/>
      <c r="P24" s="43"/>
      <c r="Q24" s="45"/>
    </row>
    <row r="25" spans="1:17">
      <c r="A25" s="35">
        <v>300</v>
      </c>
      <c r="B25" s="41">
        <v>1.1951000000000001</v>
      </c>
      <c r="C25" s="48">
        <v>1.1909000000000001</v>
      </c>
      <c r="D25" s="43">
        <v>1.1866000000000001</v>
      </c>
      <c r="E25" s="45">
        <v>1.1822999999999999</v>
      </c>
      <c r="F25" s="41">
        <v>1.1989000000000001</v>
      </c>
      <c r="G25" s="42">
        <v>1.1946000000000001</v>
      </c>
      <c r="H25" s="43">
        <v>1.1902999999999999</v>
      </c>
      <c r="I25" s="45">
        <v>1.1860999999999999</v>
      </c>
      <c r="J25" s="41">
        <v>1.2025999999999999</v>
      </c>
      <c r="K25" s="48">
        <v>1.1983999999999999</v>
      </c>
      <c r="L25" s="43">
        <v>1.1940999999999999</v>
      </c>
      <c r="M25" s="45">
        <v>1.1898</v>
      </c>
      <c r="N25" s="41"/>
      <c r="O25" s="42"/>
      <c r="P25" s="43"/>
      <c r="Q25" s="45"/>
    </row>
    <row r="26" spans="1:17">
      <c r="A26" s="35">
        <v>350</v>
      </c>
      <c r="B26" s="41">
        <v>1.1866000000000001</v>
      </c>
      <c r="C26" s="48">
        <v>1.1821999999999999</v>
      </c>
      <c r="D26" s="43">
        <v>1.1778</v>
      </c>
      <c r="E26" s="45">
        <v>1.1734</v>
      </c>
      <c r="F26" s="41">
        <v>1.1904999999999999</v>
      </c>
      <c r="G26" s="42">
        <v>1.1860999999999999</v>
      </c>
      <c r="H26" s="43">
        <v>1.1817</v>
      </c>
      <c r="I26" s="45">
        <v>1.1772</v>
      </c>
      <c r="J26" s="41">
        <v>1.1943999999999999</v>
      </c>
      <c r="K26" s="48">
        <v>1.1899</v>
      </c>
      <c r="L26" s="43">
        <v>1.1855</v>
      </c>
      <c r="M26" s="45">
        <v>1.1811</v>
      </c>
      <c r="N26" s="41"/>
      <c r="O26" s="42"/>
      <c r="P26" s="43"/>
      <c r="Q26" s="45"/>
    </row>
    <row r="27" spans="1:17">
      <c r="A27" s="35">
        <v>400</v>
      </c>
      <c r="B27" s="41">
        <v>1.1858</v>
      </c>
      <c r="C27" s="48">
        <v>1.1808000000000001</v>
      </c>
      <c r="D27" s="43">
        <v>1.1758999999999999</v>
      </c>
      <c r="E27" s="45">
        <v>1.1709000000000001</v>
      </c>
      <c r="F27" s="41">
        <v>1.1901999999999999</v>
      </c>
      <c r="G27" s="42">
        <v>1.1853</v>
      </c>
      <c r="H27" s="43">
        <v>1.1802999999999999</v>
      </c>
      <c r="I27" s="45">
        <v>1.1754</v>
      </c>
      <c r="J27" s="41">
        <v>1.1946000000000001</v>
      </c>
      <c r="K27" s="48">
        <v>1.1897</v>
      </c>
      <c r="L27" s="43">
        <v>1.1847000000000001</v>
      </c>
      <c r="M27" s="45">
        <v>1.1798</v>
      </c>
      <c r="N27" s="41"/>
      <c r="O27" s="42"/>
      <c r="P27" s="43"/>
      <c r="Q27" s="45"/>
    </row>
    <row r="28" spans="1:17">
      <c r="A28" s="35">
        <v>500</v>
      </c>
      <c r="B28" s="41">
        <v>1.1853</v>
      </c>
      <c r="C28" s="48">
        <v>1.1800999999999999</v>
      </c>
      <c r="D28" s="43">
        <v>1.1749000000000001</v>
      </c>
      <c r="E28" s="45">
        <v>1.1696</v>
      </c>
      <c r="F28" s="41">
        <v>1.19</v>
      </c>
      <c r="G28" s="42">
        <v>1.1848000000000001</v>
      </c>
      <c r="H28" s="43">
        <v>1.1795</v>
      </c>
      <c r="I28" s="45">
        <v>1.1742999999999999</v>
      </c>
      <c r="J28" s="41">
        <v>1.1946000000000001</v>
      </c>
      <c r="K28" s="48">
        <v>1.1894</v>
      </c>
      <c r="L28" s="43">
        <v>1.1841999999999999</v>
      </c>
      <c r="M28" s="45">
        <v>1.179</v>
      </c>
      <c r="N28" s="41"/>
      <c r="O28" s="42"/>
      <c r="P28" s="43"/>
      <c r="Q28" s="45"/>
    </row>
    <row r="29" spans="1:17" ht="24.75" thickBot="1">
      <c r="A29" s="36" t="s">
        <v>37</v>
      </c>
      <c r="B29" s="52">
        <v>1.1788000000000001</v>
      </c>
      <c r="C29" s="55">
        <v>1.1733</v>
      </c>
      <c r="D29" s="44">
        <v>1.1677999999999999</v>
      </c>
      <c r="E29" s="56">
        <v>1.1624000000000001</v>
      </c>
      <c r="F29" s="52">
        <v>1.1838</v>
      </c>
      <c r="G29" s="53">
        <v>1.1782999999999999</v>
      </c>
      <c r="H29" s="44">
        <v>1.1728000000000001</v>
      </c>
      <c r="I29" s="56">
        <v>1.1673</v>
      </c>
      <c r="J29" s="52">
        <v>1.1887000000000001</v>
      </c>
      <c r="K29" s="55">
        <v>1.1832</v>
      </c>
      <c r="L29" s="44">
        <v>1.1777</v>
      </c>
      <c r="M29" s="56">
        <v>1.1722999999999999</v>
      </c>
      <c r="N29" s="52"/>
      <c r="O29" s="53"/>
      <c r="P29" s="44"/>
      <c r="Q29" s="46"/>
    </row>
    <row r="30" spans="1:17" ht="24.75" thickTop="1">
      <c r="E30"/>
    </row>
  </sheetData>
  <mergeCells count="5">
    <mergeCell ref="N2:Q2"/>
    <mergeCell ref="N3:Q3"/>
    <mergeCell ref="B3:E3"/>
    <mergeCell ref="F3:I3"/>
    <mergeCell ref="J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opLeftCell="A8" workbookViewId="0">
      <selection activeCell="L19" sqref="L19"/>
    </sheetView>
  </sheetViews>
  <sheetFormatPr defaultRowHeight="24"/>
  <cols>
    <col min="1" max="1" width="13.85546875" style="10" customWidth="1"/>
    <col min="2" max="4" width="9.140625" style="10"/>
    <col min="5" max="5" width="11.85546875" style="10" bestFit="1" customWidth="1"/>
    <col min="11" max="12" width="10.7109375" bestFit="1" customWidth="1"/>
  </cols>
  <sheetData>
    <row r="1" spans="1:17" ht="22.5" thickBot="1">
      <c r="A1" s="51">
        <v>1</v>
      </c>
      <c r="B1" s="51">
        <v>2</v>
      </c>
      <c r="C1" s="51">
        <v>3</v>
      </c>
      <c r="D1" s="51">
        <v>4</v>
      </c>
      <c r="E1" s="51">
        <v>5</v>
      </c>
      <c r="F1" s="51">
        <v>6</v>
      </c>
      <c r="G1" s="51">
        <v>7</v>
      </c>
      <c r="H1" s="51">
        <v>8</v>
      </c>
      <c r="I1" s="51">
        <v>9</v>
      </c>
      <c r="J1" s="51">
        <v>10</v>
      </c>
      <c r="K1" s="51">
        <v>11</v>
      </c>
      <c r="L1" s="51">
        <v>12</v>
      </c>
      <c r="M1" s="51">
        <v>13</v>
      </c>
      <c r="N1" s="51">
        <v>14</v>
      </c>
      <c r="O1" s="51">
        <v>15</v>
      </c>
      <c r="P1" s="51">
        <v>16</v>
      </c>
      <c r="Q1" s="51">
        <v>17</v>
      </c>
    </row>
    <row r="2" spans="1:17" ht="30.75" thickTop="1" thickBot="1">
      <c r="A2" s="40" t="s">
        <v>79</v>
      </c>
      <c r="B2" s="529">
        <v>0</v>
      </c>
      <c r="C2" s="530"/>
      <c r="D2" s="530"/>
      <c r="E2" s="531"/>
      <c r="F2" s="523">
        <v>0.05</v>
      </c>
      <c r="G2" s="524"/>
      <c r="H2" s="524"/>
      <c r="I2" s="525"/>
      <c r="J2" s="523">
        <v>0.1</v>
      </c>
      <c r="K2" s="524"/>
      <c r="L2" s="524"/>
      <c r="M2" s="525"/>
      <c r="N2" s="523"/>
      <c r="O2" s="524"/>
      <c r="P2" s="524"/>
      <c r="Q2" s="525"/>
    </row>
    <row r="3" spans="1:17" ht="25.5" thickTop="1" thickBot="1">
      <c r="A3" s="33"/>
      <c r="B3" s="526" t="s">
        <v>35</v>
      </c>
      <c r="C3" s="527"/>
      <c r="D3" s="527"/>
      <c r="E3" s="528"/>
      <c r="F3" s="526" t="s">
        <v>35</v>
      </c>
      <c r="G3" s="527"/>
      <c r="H3" s="527"/>
      <c r="I3" s="528"/>
      <c r="J3" s="526" t="s">
        <v>35</v>
      </c>
      <c r="K3" s="527"/>
      <c r="L3" s="527"/>
      <c r="M3" s="528"/>
      <c r="N3" s="526" t="s">
        <v>35</v>
      </c>
      <c r="O3" s="527"/>
      <c r="P3" s="527"/>
      <c r="Q3" s="528"/>
    </row>
    <row r="4" spans="1:17" ht="24.75" thickTop="1">
      <c r="A4" s="34" t="s">
        <v>36</v>
      </c>
      <c r="B4" s="49">
        <v>0</v>
      </c>
      <c r="C4" s="47">
        <v>0.05</v>
      </c>
      <c r="D4" s="38">
        <v>0.1</v>
      </c>
      <c r="E4" s="39">
        <v>0.15</v>
      </c>
      <c r="F4" s="37">
        <v>0</v>
      </c>
      <c r="G4" s="38">
        <v>0.05</v>
      </c>
      <c r="H4" s="38">
        <v>0.1</v>
      </c>
      <c r="I4" s="39">
        <v>0.15</v>
      </c>
      <c r="J4" s="37">
        <v>0</v>
      </c>
      <c r="K4" s="38">
        <v>0.05</v>
      </c>
      <c r="L4" s="38">
        <v>0.1</v>
      </c>
      <c r="M4" s="39">
        <v>0.15</v>
      </c>
      <c r="N4" s="37">
        <v>0</v>
      </c>
      <c r="O4" s="38">
        <v>0.05</v>
      </c>
      <c r="P4" s="38">
        <v>0.1</v>
      </c>
      <c r="Q4" s="39">
        <v>0.15</v>
      </c>
    </row>
    <row r="5" spans="1:17">
      <c r="A5" s="35">
        <v>0</v>
      </c>
      <c r="B5" s="50">
        <v>1.2782</v>
      </c>
      <c r="C5" s="48">
        <v>1.2771999999999999</v>
      </c>
      <c r="D5" s="43">
        <v>1.2761</v>
      </c>
      <c r="E5" s="45">
        <v>1.2749999999999999</v>
      </c>
      <c r="F5" s="41"/>
      <c r="G5" s="42"/>
      <c r="H5" s="43"/>
      <c r="I5" s="45"/>
      <c r="J5" s="41"/>
      <c r="K5" s="42"/>
      <c r="L5" s="43"/>
      <c r="M5" s="45"/>
      <c r="N5" s="41"/>
      <c r="O5" s="42"/>
      <c r="P5" s="43"/>
      <c r="Q5" s="45"/>
    </row>
    <row r="6" spans="1:17">
      <c r="A6" s="35">
        <v>0.5</v>
      </c>
      <c r="B6" s="50">
        <v>1.2782</v>
      </c>
      <c r="C6" s="48">
        <v>1.2771999999999999</v>
      </c>
      <c r="D6" s="43">
        <v>1.2761</v>
      </c>
      <c r="E6" s="45">
        <v>1.2749999999999999</v>
      </c>
      <c r="F6" s="41"/>
      <c r="G6" s="42"/>
      <c r="H6" s="43"/>
      <c r="I6" s="45"/>
      <c r="J6" s="41"/>
      <c r="K6" s="42"/>
      <c r="L6" s="43"/>
      <c r="M6" s="45"/>
      <c r="N6" s="41"/>
      <c r="O6" s="42"/>
      <c r="P6" s="43"/>
      <c r="Q6" s="45"/>
    </row>
    <row r="7" spans="1:17">
      <c r="A7" s="35">
        <v>10</v>
      </c>
      <c r="B7" s="50">
        <v>1.2445999999999999</v>
      </c>
      <c r="C7" s="48">
        <v>1.12432</v>
      </c>
      <c r="D7" s="43">
        <v>1.2419</v>
      </c>
      <c r="E7" s="45">
        <v>1.2405999999999999</v>
      </c>
      <c r="F7" s="41"/>
      <c r="G7" s="42"/>
      <c r="H7" s="43"/>
      <c r="I7" s="45"/>
      <c r="J7" s="41"/>
      <c r="K7" s="42"/>
      <c r="L7" s="43"/>
      <c r="M7" s="45"/>
      <c r="N7" s="41"/>
      <c r="O7" s="42"/>
      <c r="P7" s="43"/>
      <c r="Q7" s="45"/>
    </row>
    <row r="8" spans="1:17">
      <c r="A8" s="35">
        <v>15</v>
      </c>
      <c r="B8" s="50">
        <v>1.2375</v>
      </c>
      <c r="C8" s="48">
        <v>1.2359</v>
      </c>
      <c r="D8" s="43">
        <v>1.2342</v>
      </c>
      <c r="E8" s="45">
        <v>1.2325999999999999</v>
      </c>
      <c r="F8" s="41"/>
      <c r="G8" s="42"/>
      <c r="H8" s="43"/>
      <c r="I8" s="45"/>
      <c r="J8" s="41"/>
      <c r="K8" s="42"/>
      <c r="L8" s="43"/>
      <c r="M8" s="45"/>
      <c r="N8" s="41"/>
      <c r="O8" s="42"/>
      <c r="P8" s="43"/>
      <c r="Q8" s="45"/>
    </row>
    <row r="9" spans="1:17">
      <c r="A9" s="35">
        <v>20</v>
      </c>
      <c r="B9" s="50">
        <v>1.2303999999999999</v>
      </c>
      <c r="C9" s="48">
        <v>1.2285999999999999</v>
      </c>
      <c r="D9" s="43">
        <v>1.2265999999999999</v>
      </c>
      <c r="E9" s="45">
        <v>1.2248000000000001</v>
      </c>
      <c r="F9" s="41"/>
      <c r="G9" s="42"/>
      <c r="H9" s="43"/>
      <c r="I9" s="45"/>
      <c r="J9" s="41"/>
      <c r="K9" s="42"/>
      <c r="L9" s="43"/>
      <c r="M9" s="45"/>
      <c r="N9" s="41"/>
      <c r="O9" s="42"/>
      <c r="P9" s="43"/>
      <c r="Q9" s="45"/>
    </row>
    <row r="10" spans="1:17">
      <c r="A10" s="35">
        <v>25</v>
      </c>
      <c r="B10" s="50">
        <v>1.2144999999999999</v>
      </c>
      <c r="C10" s="48">
        <v>1.2124999999999999</v>
      </c>
      <c r="D10" s="43">
        <v>1.2107000000000001</v>
      </c>
      <c r="E10" s="45">
        <v>1.2088000000000001</v>
      </c>
      <c r="F10" s="41"/>
      <c r="G10" s="42"/>
      <c r="H10" s="43"/>
      <c r="I10" s="45"/>
      <c r="J10" s="41"/>
      <c r="K10" s="42"/>
      <c r="L10" s="43"/>
      <c r="M10" s="45"/>
      <c r="N10" s="41"/>
      <c r="O10" s="42"/>
      <c r="P10" s="43"/>
      <c r="Q10" s="45"/>
    </row>
    <row r="11" spans="1:17">
      <c r="A11" s="35">
        <v>30</v>
      </c>
      <c r="B11" s="50">
        <v>1.2133</v>
      </c>
      <c r="C11" s="48">
        <v>1.2110000000000001</v>
      </c>
      <c r="D11" s="43">
        <v>1.2088000000000001</v>
      </c>
      <c r="E11" s="45">
        <v>1.2063999999999999</v>
      </c>
      <c r="F11" s="41"/>
      <c r="G11" s="42"/>
      <c r="H11" s="43"/>
      <c r="I11" s="45"/>
      <c r="J11" s="41"/>
      <c r="K11" s="42"/>
      <c r="L11" s="43"/>
      <c r="M11" s="45"/>
      <c r="N11" s="41"/>
      <c r="O11" s="42"/>
      <c r="P11" s="43"/>
      <c r="Q11" s="45"/>
    </row>
    <row r="12" spans="1:17">
      <c r="A12" s="35">
        <v>35</v>
      </c>
      <c r="B12" s="50">
        <v>1.2079</v>
      </c>
      <c r="C12" s="48">
        <v>1.2055</v>
      </c>
      <c r="D12" s="43">
        <v>1.2031000000000001</v>
      </c>
      <c r="E12" s="45">
        <v>1.2005999999999999</v>
      </c>
      <c r="F12" s="41"/>
      <c r="G12" s="42"/>
      <c r="H12" s="43"/>
      <c r="I12" s="45"/>
      <c r="J12" s="41"/>
      <c r="K12" s="42"/>
      <c r="L12" s="43"/>
      <c r="M12" s="45"/>
      <c r="N12" s="41"/>
      <c r="O12" s="42"/>
      <c r="P12" s="43"/>
      <c r="Q12" s="45"/>
    </row>
    <row r="13" spans="1:17">
      <c r="A13" s="35">
        <v>40</v>
      </c>
      <c r="B13" s="50">
        <v>1.2000999999999999</v>
      </c>
      <c r="C13" s="48">
        <v>1.1977</v>
      </c>
      <c r="D13" s="43">
        <v>1.1953</v>
      </c>
      <c r="E13" s="45">
        <v>1.1928000000000001</v>
      </c>
      <c r="F13" s="41"/>
      <c r="G13" s="42"/>
      <c r="H13" s="43"/>
      <c r="I13" s="45"/>
      <c r="J13" s="41"/>
      <c r="K13" s="42"/>
      <c r="L13" s="43"/>
      <c r="M13" s="45"/>
      <c r="N13" s="41"/>
      <c r="O13" s="42"/>
      <c r="P13" s="43"/>
      <c r="Q13" s="45"/>
    </row>
    <row r="14" spans="1:17">
      <c r="A14" s="35">
        <v>45</v>
      </c>
      <c r="B14" s="50">
        <v>1.1887000000000001</v>
      </c>
      <c r="C14" s="48">
        <v>1.1862999999999999</v>
      </c>
      <c r="D14" s="43">
        <v>1.1838</v>
      </c>
      <c r="E14" s="45">
        <v>1.1815</v>
      </c>
      <c r="F14" s="41"/>
      <c r="G14" s="42"/>
      <c r="H14" s="43"/>
      <c r="I14" s="45"/>
      <c r="J14" s="41"/>
      <c r="K14" s="42"/>
      <c r="L14" s="43"/>
      <c r="M14" s="45"/>
      <c r="N14" s="41"/>
      <c r="O14" s="42"/>
      <c r="P14" s="43"/>
      <c r="Q14" s="45"/>
    </row>
    <row r="15" spans="1:17">
      <c r="A15" s="35">
        <v>50</v>
      </c>
      <c r="B15" s="50">
        <v>1.1838</v>
      </c>
      <c r="C15" s="48">
        <v>1.1814</v>
      </c>
      <c r="D15" s="43">
        <v>1.179</v>
      </c>
      <c r="E15" s="45">
        <v>1.1766000000000001</v>
      </c>
      <c r="F15" s="41"/>
      <c r="G15" s="42"/>
      <c r="H15" s="43"/>
      <c r="I15" s="45"/>
      <c r="J15" s="41"/>
      <c r="K15" s="42"/>
      <c r="L15" s="43"/>
      <c r="M15" s="45"/>
      <c r="N15" s="41"/>
      <c r="O15" s="42"/>
      <c r="P15" s="43"/>
      <c r="Q15" s="45"/>
    </row>
    <row r="16" spans="1:17">
      <c r="A16" s="35">
        <v>55</v>
      </c>
      <c r="B16" s="50">
        <v>1.1826000000000001</v>
      </c>
      <c r="C16" s="48">
        <v>1.1800999999999999</v>
      </c>
      <c r="D16" s="43">
        <v>1.1777</v>
      </c>
      <c r="E16" s="45">
        <v>1.1753</v>
      </c>
      <c r="F16" s="41"/>
      <c r="G16" s="42"/>
      <c r="H16" s="43"/>
      <c r="I16" s="45"/>
      <c r="J16" s="41"/>
      <c r="K16" s="42"/>
      <c r="L16" s="43"/>
      <c r="M16" s="45"/>
      <c r="N16" s="41"/>
      <c r="O16" s="42"/>
      <c r="P16" s="43"/>
      <c r="Q16" s="45"/>
    </row>
    <row r="17" spans="1:17">
      <c r="A17" s="35">
        <v>60</v>
      </c>
      <c r="B17" s="50">
        <v>1.181</v>
      </c>
      <c r="C17" s="48">
        <v>1.1785000000000001</v>
      </c>
      <c r="D17" s="43">
        <v>1.1760999999999999</v>
      </c>
      <c r="E17" s="45">
        <v>1.1737</v>
      </c>
      <c r="F17" s="41"/>
      <c r="G17" s="42"/>
      <c r="H17" s="43"/>
      <c r="I17" s="45"/>
      <c r="J17" s="41"/>
      <c r="K17" s="42"/>
      <c r="L17" s="43"/>
      <c r="M17" s="45"/>
      <c r="N17" s="41"/>
      <c r="O17" s="42"/>
      <c r="P17" s="43"/>
      <c r="Q17" s="45"/>
    </row>
    <row r="18" spans="1:17">
      <c r="A18" s="35">
        <v>65</v>
      </c>
      <c r="B18" s="50">
        <v>1.1776</v>
      </c>
      <c r="C18" s="48">
        <v>1.175</v>
      </c>
      <c r="D18" s="43">
        <v>1.1722999999999999</v>
      </c>
      <c r="E18" s="45">
        <v>1.1696</v>
      </c>
      <c r="F18" s="41"/>
      <c r="G18" s="42"/>
      <c r="H18" s="43"/>
      <c r="I18" s="45"/>
      <c r="J18" s="41"/>
      <c r="K18" s="42"/>
      <c r="L18" s="43"/>
      <c r="M18" s="45"/>
      <c r="N18" s="41"/>
      <c r="O18" s="42"/>
      <c r="P18" s="43"/>
      <c r="Q18" s="45"/>
    </row>
    <row r="19" spans="1:17">
      <c r="A19" s="35">
        <v>70</v>
      </c>
      <c r="B19" s="50">
        <v>1.1767000000000001</v>
      </c>
      <c r="C19" s="48">
        <v>1.1738999999999999</v>
      </c>
      <c r="D19" s="43">
        <v>1.1711</v>
      </c>
      <c r="E19" s="45">
        <v>1.1682999999999999</v>
      </c>
      <c r="F19" s="41"/>
      <c r="G19" s="42"/>
      <c r="H19" s="43"/>
      <c r="I19" s="45"/>
      <c r="J19" s="41"/>
      <c r="K19" s="42"/>
      <c r="L19" s="43"/>
      <c r="M19" s="45"/>
      <c r="N19" s="41"/>
      <c r="O19" s="42"/>
      <c r="P19" s="43"/>
      <c r="Q19" s="45"/>
    </row>
    <row r="20" spans="1:17">
      <c r="A20" s="35">
        <v>75</v>
      </c>
      <c r="B20" s="50">
        <v>1.1741999999999999</v>
      </c>
      <c r="C20" s="48">
        <v>1.1714</v>
      </c>
      <c r="D20" s="43">
        <v>1.1685000000000001</v>
      </c>
      <c r="E20" s="45">
        <v>1.1657999999999999</v>
      </c>
      <c r="F20" s="41"/>
      <c r="G20" s="42"/>
      <c r="H20" s="43"/>
      <c r="I20" s="45"/>
      <c r="J20" s="41"/>
      <c r="K20" s="42"/>
      <c r="L20" s="43"/>
      <c r="M20" s="45"/>
      <c r="N20" s="41"/>
      <c r="O20" s="42"/>
      <c r="P20" s="43"/>
      <c r="Q20" s="45"/>
    </row>
    <row r="21" spans="1:17">
      <c r="A21" s="35">
        <v>80</v>
      </c>
      <c r="B21" s="50">
        <v>1.1718</v>
      </c>
      <c r="C21" s="48">
        <v>1.169</v>
      </c>
      <c r="D21" s="43">
        <v>1.1660999999999999</v>
      </c>
      <c r="E21" s="45">
        <v>1.1633</v>
      </c>
      <c r="F21" s="41"/>
      <c r="G21" s="42"/>
      <c r="H21" s="43"/>
      <c r="I21" s="45"/>
      <c r="J21" s="41"/>
      <c r="K21" s="42"/>
      <c r="L21" s="43"/>
      <c r="M21" s="45"/>
      <c r="N21" s="41"/>
      <c r="O21" s="42"/>
      <c r="P21" s="43"/>
      <c r="Q21" s="45"/>
    </row>
    <row r="22" spans="1:17">
      <c r="A22" s="35">
        <v>85</v>
      </c>
      <c r="B22" s="50">
        <v>1.1696</v>
      </c>
      <c r="C22" s="48">
        <v>1.1667000000000001</v>
      </c>
      <c r="D22" s="43">
        <v>1.1638999999999999</v>
      </c>
      <c r="E22" s="45">
        <v>1.1612</v>
      </c>
      <c r="F22" s="41"/>
      <c r="G22" s="42"/>
      <c r="H22" s="43"/>
      <c r="I22" s="45"/>
      <c r="J22" s="41"/>
      <c r="K22" s="42"/>
      <c r="L22" s="43"/>
      <c r="M22" s="45"/>
      <c r="N22" s="41"/>
      <c r="O22" s="42"/>
      <c r="P22" s="43"/>
      <c r="Q22" s="45"/>
    </row>
    <row r="23" spans="1:17">
      <c r="A23" s="35">
        <v>90</v>
      </c>
      <c r="B23" s="50">
        <v>1.1687000000000001</v>
      </c>
      <c r="C23" s="48">
        <v>1.657</v>
      </c>
      <c r="D23" s="43">
        <v>1.1628000000000001</v>
      </c>
      <c r="E23" s="45">
        <v>1.1597999999999999</v>
      </c>
      <c r="F23" s="41"/>
      <c r="G23" s="42"/>
      <c r="H23" s="43"/>
      <c r="I23" s="45"/>
      <c r="J23" s="41"/>
      <c r="K23" s="42"/>
      <c r="L23" s="43"/>
      <c r="M23" s="45"/>
      <c r="N23" s="41"/>
      <c r="O23" s="42"/>
      <c r="P23" s="43"/>
      <c r="Q23" s="45"/>
    </row>
    <row r="24" spans="1:17">
      <c r="A24" s="35">
        <v>95</v>
      </c>
      <c r="B24" s="50">
        <v>1.1677</v>
      </c>
      <c r="C24" s="48">
        <v>1.1648000000000001</v>
      </c>
      <c r="D24" s="43">
        <v>1.1617999999999999</v>
      </c>
      <c r="E24" s="45">
        <v>1.1589</v>
      </c>
      <c r="F24" s="41"/>
      <c r="G24" s="42"/>
      <c r="H24" s="43"/>
      <c r="I24" s="45"/>
      <c r="J24" s="41"/>
      <c r="K24" s="42"/>
      <c r="L24" s="43"/>
      <c r="M24" s="45"/>
      <c r="N24" s="41"/>
      <c r="O24" s="42"/>
      <c r="P24" s="43"/>
      <c r="Q24" s="45"/>
    </row>
    <row r="25" spans="1:17">
      <c r="A25" s="35">
        <v>100</v>
      </c>
      <c r="B25" s="50">
        <v>1.1660999999999999</v>
      </c>
      <c r="C25" s="48">
        <v>1.1632</v>
      </c>
      <c r="D25" s="43">
        <v>1.1601999999999999</v>
      </c>
      <c r="E25" s="45">
        <v>1.1573</v>
      </c>
      <c r="F25" s="41"/>
      <c r="G25" s="42"/>
      <c r="H25" s="43"/>
      <c r="I25" s="45"/>
      <c r="J25" s="41"/>
      <c r="K25" s="42"/>
      <c r="L25" s="43"/>
      <c r="M25" s="45"/>
      <c r="N25" s="41"/>
      <c r="O25" s="42"/>
      <c r="P25" s="43"/>
      <c r="Q25" s="45"/>
    </row>
    <row r="26" spans="1:17">
      <c r="A26" s="35">
        <v>105</v>
      </c>
      <c r="B26" s="50">
        <v>1.1657</v>
      </c>
      <c r="C26" s="48">
        <v>1.1628000000000001</v>
      </c>
      <c r="D26" s="43">
        <v>1.1597999999999999</v>
      </c>
      <c r="E26" s="45">
        <v>1.1569</v>
      </c>
      <c r="F26" s="41"/>
      <c r="G26" s="42"/>
      <c r="H26" s="43"/>
      <c r="I26" s="45"/>
      <c r="J26" s="41"/>
      <c r="K26" s="42"/>
      <c r="L26" s="43"/>
      <c r="M26" s="45"/>
      <c r="N26" s="41"/>
      <c r="O26" s="42"/>
      <c r="P26" s="43"/>
      <c r="Q26" s="45"/>
    </row>
    <row r="27" spans="1:17">
      <c r="A27" s="35">
        <v>110</v>
      </c>
      <c r="B27" s="50">
        <v>1.1646000000000001</v>
      </c>
      <c r="C27" s="48">
        <v>1.1616</v>
      </c>
      <c r="D27" s="43">
        <v>1.1587000000000001</v>
      </c>
      <c r="E27" s="45">
        <v>1.1556999999999999</v>
      </c>
      <c r="F27" s="41"/>
      <c r="G27" s="42"/>
      <c r="H27" s="43"/>
      <c r="I27" s="45"/>
      <c r="J27" s="41"/>
      <c r="K27" s="42"/>
      <c r="L27" s="43"/>
      <c r="M27" s="45"/>
      <c r="N27" s="41"/>
      <c r="O27" s="42"/>
      <c r="P27" s="43"/>
      <c r="Q27" s="45"/>
    </row>
    <row r="28" spans="1:17">
      <c r="A28" s="35">
        <v>115</v>
      </c>
      <c r="B28" s="50">
        <v>1.1631</v>
      </c>
      <c r="C28" s="48">
        <v>1.1600999999999999</v>
      </c>
      <c r="D28" s="43">
        <v>1.1572</v>
      </c>
      <c r="E28" s="45">
        <v>1.1541999999999999</v>
      </c>
      <c r="F28" s="41"/>
      <c r="G28" s="42"/>
      <c r="H28" s="43"/>
      <c r="I28" s="45"/>
      <c r="J28" s="41"/>
      <c r="K28" s="42"/>
      <c r="L28" s="43"/>
      <c r="M28" s="45"/>
      <c r="N28" s="41"/>
      <c r="O28" s="42"/>
      <c r="P28" s="43"/>
      <c r="Q28" s="45"/>
    </row>
    <row r="29" spans="1:17">
      <c r="A29" s="35">
        <v>120</v>
      </c>
      <c r="B29" s="50">
        <v>1.1617</v>
      </c>
      <c r="C29" s="48">
        <v>1.1587000000000001</v>
      </c>
      <c r="D29" s="43">
        <v>1.1557999999999999</v>
      </c>
      <c r="E29" s="45">
        <v>1.1528</v>
      </c>
      <c r="F29" s="41"/>
      <c r="G29" s="42"/>
      <c r="H29" s="43"/>
      <c r="I29" s="45"/>
      <c r="J29" s="41"/>
      <c r="K29" s="42"/>
      <c r="L29" s="43"/>
      <c r="M29" s="45"/>
      <c r="N29" s="41"/>
      <c r="O29" s="42"/>
      <c r="P29" s="43"/>
      <c r="Q29" s="45"/>
    </row>
    <row r="30" spans="1:17">
      <c r="A30" s="35">
        <v>125</v>
      </c>
      <c r="B30" s="50">
        <v>1.1611</v>
      </c>
      <c r="C30" s="48">
        <v>1.1579999999999999</v>
      </c>
      <c r="D30" s="43">
        <v>1.155</v>
      </c>
      <c r="E30" s="45">
        <v>1.1518999999999999</v>
      </c>
      <c r="F30" s="41"/>
      <c r="G30" s="42"/>
      <c r="H30" s="43"/>
      <c r="I30" s="45"/>
      <c r="J30" s="41"/>
      <c r="K30" s="42"/>
      <c r="L30" s="43"/>
      <c r="M30" s="45"/>
      <c r="N30" s="41"/>
      <c r="O30" s="42"/>
      <c r="P30" s="43"/>
      <c r="Q30" s="45"/>
    </row>
    <row r="31" spans="1:17">
      <c r="A31" s="35">
        <v>130</v>
      </c>
      <c r="B31" s="50">
        <v>1.1608000000000001</v>
      </c>
      <c r="C31" s="48">
        <v>1.1577</v>
      </c>
      <c r="D31" s="43">
        <v>1.1547000000000001</v>
      </c>
      <c r="E31" s="45">
        <v>1.1516</v>
      </c>
      <c r="F31" s="41"/>
      <c r="G31" s="42"/>
      <c r="H31" s="43"/>
      <c r="I31" s="45"/>
      <c r="J31" s="41"/>
      <c r="K31" s="42"/>
      <c r="L31" s="43"/>
      <c r="M31" s="45"/>
      <c r="N31" s="41"/>
      <c r="O31" s="42"/>
      <c r="P31" s="43"/>
      <c r="Q31" s="45"/>
    </row>
    <row r="32" spans="1:17">
      <c r="A32" s="35">
        <v>135</v>
      </c>
      <c r="B32" s="50">
        <v>1.1597</v>
      </c>
      <c r="C32" s="48">
        <v>1.1566000000000001</v>
      </c>
      <c r="D32" s="43">
        <v>1.1536</v>
      </c>
      <c r="E32" s="45">
        <v>1.1505000000000001</v>
      </c>
      <c r="F32" s="41"/>
      <c r="G32" s="42"/>
      <c r="H32" s="43"/>
      <c r="I32" s="45"/>
      <c r="J32" s="41"/>
      <c r="K32" s="42"/>
      <c r="L32" s="43"/>
      <c r="M32" s="45"/>
      <c r="N32" s="41"/>
      <c r="O32" s="42"/>
      <c r="P32" s="43"/>
      <c r="Q32" s="45"/>
    </row>
    <row r="33" spans="1:17">
      <c r="A33" s="35">
        <v>140</v>
      </c>
      <c r="B33" s="50">
        <v>1.1586000000000001</v>
      </c>
      <c r="C33" s="48">
        <v>1.1555</v>
      </c>
      <c r="D33" s="43">
        <v>1.1525000000000001</v>
      </c>
      <c r="E33" s="45">
        <v>1.1494</v>
      </c>
      <c r="F33" s="41"/>
      <c r="G33" s="42"/>
      <c r="H33" s="43"/>
      <c r="I33" s="45"/>
      <c r="J33" s="41"/>
      <c r="K33" s="42"/>
      <c r="L33" s="43"/>
      <c r="M33" s="45"/>
      <c r="N33" s="41"/>
      <c r="O33" s="42"/>
      <c r="P33" s="43"/>
      <c r="Q33" s="45"/>
    </row>
    <row r="34" spans="1:17">
      <c r="A34" s="35">
        <v>145</v>
      </c>
      <c r="B34" s="50">
        <v>1.1576</v>
      </c>
      <c r="C34" s="48">
        <v>1.1545000000000001</v>
      </c>
      <c r="D34" s="43">
        <v>1.1514</v>
      </c>
      <c r="E34" s="45">
        <v>1.1484000000000001</v>
      </c>
      <c r="F34" s="41"/>
      <c r="G34" s="42"/>
      <c r="H34" s="43"/>
      <c r="I34" s="45"/>
      <c r="J34" s="41"/>
      <c r="K34" s="42"/>
      <c r="L34" s="43"/>
      <c r="M34" s="45"/>
      <c r="N34" s="41"/>
      <c r="O34" s="42"/>
      <c r="P34" s="43"/>
      <c r="Q34" s="45"/>
    </row>
    <row r="35" spans="1:17">
      <c r="A35" s="35">
        <v>150</v>
      </c>
      <c r="B35" s="50">
        <v>1.1567000000000001</v>
      </c>
      <c r="C35" s="48">
        <v>1.1536</v>
      </c>
      <c r="D35" s="43">
        <v>1.1506000000000001</v>
      </c>
      <c r="E35" s="45">
        <v>1.1475</v>
      </c>
      <c r="F35" s="41"/>
      <c r="G35" s="42"/>
      <c r="H35" s="43"/>
      <c r="I35" s="45"/>
      <c r="J35" s="41"/>
      <c r="K35" s="42"/>
      <c r="L35" s="43"/>
      <c r="M35" s="45"/>
      <c r="N35" s="41"/>
      <c r="O35" s="42"/>
      <c r="P35" s="43"/>
      <c r="Q35" s="45"/>
    </row>
    <row r="36" spans="1:17">
      <c r="A36" s="35">
        <v>155</v>
      </c>
      <c r="B36" s="50">
        <v>1.1557999999999999</v>
      </c>
      <c r="C36" s="48">
        <v>1.1527000000000001</v>
      </c>
      <c r="D36" s="43">
        <v>1.1496999999999999</v>
      </c>
      <c r="E36" s="45">
        <v>1.1466000000000001</v>
      </c>
      <c r="F36" s="41"/>
      <c r="G36" s="42"/>
      <c r="H36" s="43"/>
      <c r="I36" s="45"/>
      <c r="J36" s="41"/>
      <c r="K36" s="42"/>
      <c r="L36" s="43"/>
      <c r="M36" s="45"/>
      <c r="N36" s="41"/>
      <c r="O36" s="42"/>
      <c r="P36" s="43"/>
      <c r="Q36" s="45"/>
    </row>
    <row r="37" spans="1:17">
      <c r="A37" s="35">
        <v>160</v>
      </c>
      <c r="B37" s="50">
        <v>1.155</v>
      </c>
      <c r="C37" s="48">
        <v>1.1519999999999999</v>
      </c>
      <c r="D37" s="43">
        <v>1.1489</v>
      </c>
      <c r="E37" s="45">
        <v>1.1457999999999999</v>
      </c>
      <c r="F37" s="41"/>
      <c r="G37" s="42"/>
      <c r="H37" s="43"/>
      <c r="I37" s="45"/>
      <c r="J37" s="41"/>
      <c r="K37" s="42"/>
      <c r="L37" s="43"/>
      <c r="M37" s="45"/>
      <c r="N37" s="41"/>
      <c r="O37" s="42"/>
      <c r="P37" s="43"/>
      <c r="Q37" s="45"/>
    </row>
    <row r="38" spans="1:17">
      <c r="A38" s="35">
        <v>165</v>
      </c>
      <c r="B38" s="50">
        <v>1.1541999999999999</v>
      </c>
      <c r="C38" s="48">
        <v>1.1511</v>
      </c>
      <c r="D38" s="43">
        <v>1.1480999999999999</v>
      </c>
      <c r="E38" s="45">
        <v>1.145</v>
      </c>
      <c r="F38" s="41"/>
      <c r="G38" s="42"/>
      <c r="H38" s="43"/>
      <c r="I38" s="45"/>
      <c r="J38" s="41"/>
      <c r="K38" s="42"/>
      <c r="L38" s="43"/>
      <c r="M38" s="45"/>
      <c r="N38" s="41"/>
      <c r="O38" s="42"/>
      <c r="P38" s="43"/>
      <c r="Q38" s="45"/>
    </row>
    <row r="39" spans="1:17">
      <c r="A39" s="35">
        <v>170</v>
      </c>
      <c r="B39" s="50">
        <v>1.1535</v>
      </c>
      <c r="C39" s="48">
        <v>1.1505000000000001</v>
      </c>
      <c r="D39" s="43">
        <v>1.1474</v>
      </c>
      <c r="E39" s="45">
        <v>1.1443000000000001</v>
      </c>
      <c r="F39" s="41"/>
      <c r="G39" s="42"/>
      <c r="H39" s="43"/>
      <c r="I39" s="45"/>
      <c r="J39" s="41"/>
      <c r="K39" s="42"/>
      <c r="L39" s="43"/>
      <c r="M39" s="45"/>
      <c r="N39" s="41"/>
      <c r="O39" s="42"/>
      <c r="P39" s="43"/>
      <c r="Q39" s="45"/>
    </row>
    <row r="40" spans="1:17">
      <c r="A40" s="35">
        <v>175</v>
      </c>
      <c r="B40" s="50">
        <v>1.1528</v>
      </c>
      <c r="C40" s="48">
        <v>1.1496999999999999</v>
      </c>
      <c r="D40" s="43">
        <v>1.1467000000000001</v>
      </c>
      <c r="E40" s="45">
        <v>1.1435999999999999</v>
      </c>
      <c r="F40" s="41"/>
      <c r="G40" s="42"/>
      <c r="H40" s="43"/>
      <c r="I40" s="45"/>
      <c r="J40" s="41"/>
      <c r="K40" s="42"/>
      <c r="L40" s="43"/>
      <c r="M40" s="45"/>
      <c r="N40" s="41"/>
      <c r="O40" s="42"/>
      <c r="P40" s="43"/>
      <c r="Q40" s="45"/>
    </row>
    <row r="41" spans="1:17">
      <c r="A41" s="35">
        <v>180</v>
      </c>
      <c r="B41" s="50">
        <v>1.1521999999999999</v>
      </c>
      <c r="C41" s="48">
        <v>1.1491</v>
      </c>
      <c r="D41" s="43">
        <v>1.1460999999999999</v>
      </c>
      <c r="E41" s="45">
        <v>1.143</v>
      </c>
      <c r="F41" s="41"/>
      <c r="G41" s="42"/>
      <c r="H41" s="43"/>
      <c r="I41" s="45"/>
      <c r="J41" s="41"/>
      <c r="K41" s="42"/>
      <c r="L41" s="43"/>
      <c r="M41" s="45"/>
      <c r="N41" s="41"/>
      <c r="O41" s="42"/>
      <c r="P41" s="43"/>
      <c r="Q41" s="45"/>
    </row>
    <row r="42" spans="1:17">
      <c r="A42" s="35">
        <v>185</v>
      </c>
      <c r="B42" s="50">
        <v>1.1515</v>
      </c>
      <c r="C42" s="48">
        <v>1.1485000000000001</v>
      </c>
      <c r="D42" s="43">
        <v>1.1454</v>
      </c>
      <c r="E42" s="45">
        <v>1.1423000000000001</v>
      </c>
      <c r="F42" s="41"/>
      <c r="G42" s="42"/>
      <c r="H42" s="43"/>
      <c r="I42" s="45"/>
      <c r="J42" s="41"/>
      <c r="K42" s="42"/>
      <c r="L42" s="43"/>
      <c r="M42" s="45"/>
      <c r="N42" s="41"/>
      <c r="O42" s="42"/>
      <c r="P42" s="43"/>
      <c r="Q42" s="45"/>
    </row>
    <row r="43" spans="1:17">
      <c r="A43" s="35">
        <v>190</v>
      </c>
      <c r="B43" s="50">
        <v>1.151</v>
      </c>
      <c r="C43" s="48">
        <v>1.1478999999999999</v>
      </c>
      <c r="D43" s="43">
        <v>1.1448</v>
      </c>
      <c r="E43" s="45">
        <v>1.1417999999999999</v>
      </c>
      <c r="F43" s="41"/>
      <c r="G43" s="42"/>
      <c r="H43" s="43"/>
      <c r="I43" s="45"/>
      <c r="J43" s="41"/>
      <c r="K43" s="42"/>
      <c r="L43" s="43"/>
      <c r="M43" s="45"/>
      <c r="N43" s="41"/>
      <c r="O43" s="42"/>
      <c r="P43" s="43"/>
      <c r="Q43" s="45"/>
    </row>
    <row r="44" spans="1:17">
      <c r="A44" s="35">
        <v>195</v>
      </c>
      <c r="B44" s="50">
        <v>1.1505000000000001</v>
      </c>
      <c r="C44" s="48">
        <v>1.1474</v>
      </c>
      <c r="D44" s="43">
        <v>1.1443000000000001</v>
      </c>
      <c r="E44" s="45">
        <v>1.1413</v>
      </c>
      <c r="F44" s="41"/>
      <c r="G44" s="42"/>
      <c r="H44" s="43"/>
      <c r="I44" s="45"/>
      <c r="J44" s="41"/>
      <c r="K44" s="42"/>
      <c r="L44" s="43"/>
      <c r="M44" s="45"/>
      <c r="N44" s="41"/>
      <c r="O44" s="42"/>
      <c r="P44" s="43"/>
      <c r="Q44" s="45"/>
    </row>
    <row r="45" spans="1:17" ht="24.75" thickBot="1">
      <c r="A45" s="35" t="s">
        <v>80</v>
      </c>
      <c r="B45" s="54">
        <v>1.1498999999999999</v>
      </c>
      <c r="C45" s="55">
        <v>1.1468</v>
      </c>
      <c r="D45" s="44">
        <v>1.1437999999999999</v>
      </c>
      <c r="E45" s="56">
        <v>1.1407</v>
      </c>
      <c r="F45" s="52"/>
      <c r="G45" s="53"/>
      <c r="H45" s="44"/>
      <c r="I45" s="56"/>
      <c r="J45" s="52"/>
      <c r="K45" s="53"/>
      <c r="L45" s="44"/>
      <c r="M45" s="56"/>
      <c r="N45" s="52"/>
      <c r="O45" s="53"/>
      <c r="P45" s="44"/>
      <c r="Q45" s="56"/>
    </row>
    <row r="46" spans="1:17" ht="24.75" thickTop="1"/>
  </sheetData>
  <mergeCells count="8">
    <mergeCell ref="B2:E2"/>
    <mergeCell ref="F2:I2"/>
    <mergeCell ref="J2:M2"/>
    <mergeCell ref="N2:Q2"/>
    <mergeCell ref="B3:E3"/>
    <mergeCell ref="F3:I3"/>
    <mergeCell ref="J3:M3"/>
    <mergeCell ref="N3:Q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21" sqref="G21"/>
    </sheetView>
  </sheetViews>
  <sheetFormatPr defaultRowHeight="21.75"/>
  <cols>
    <col min="2" max="4" width="17.140625" customWidth="1"/>
    <col min="5" max="5" width="16.28515625" customWidth="1"/>
    <col min="6" max="6" width="14.7109375" customWidth="1"/>
  </cols>
  <sheetData>
    <row r="1" spans="1:6">
      <c r="E1" s="24">
        <v>23253000</v>
      </c>
    </row>
    <row r="2" spans="1:6">
      <c r="B2" s="17" t="s">
        <v>50</v>
      </c>
      <c r="C2" s="17" t="s">
        <v>23</v>
      </c>
      <c r="D2" s="17" t="s">
        <v>51</v>
      </c>
      <c r="E2" t="s">
        <v>48</v>
      </c>
      <c r="F2" t="s">
        <v>49</v>
      </c>
    </row>
    <row r="3" spans="1:6">
      <c r="A3">
        <v>1</v>
      </c>
      <c r="B3" s="18">
        <f>1.2352*1000000</f>
        <v>1235200</v>
      </c>
      <c r="C3" s="18">
        <v>650000</v>
      </c>
      <c r="D3" s="18">
        <f>+C3+B3</f>
        <v>1885200</v>
      </c>
      <c r="E3" s="21">
        <f>+D3/$E$1</f>
        <v>8.1073409882595787E-2</v>
      </c>
      <c r="F3" s="22">
        <v>0.1</v>
      </c>
    </row>
    <row r="4" spans="1:6">
      <c r="A4">
        <v>2</v>
      </c>
      <c r="B4" s="18">
        <f>2100000*1.2352</f>
        <v>2593920</v>
      </c>
      <c r="C4" s="18">
        <v>650000</v>
      </c>
      <c r="D4" s="18">
        <f t="shared" ref="D4:D16" si="0">+C4+B4</f>
        <v>3243920</v>
      </c>
      <c r="E4" s="21">
        <f t="shared" ref="E4:E15" si="1">+D4/$E$1</f>
        <v>0.13950544015825914</v>
      </c>
      <c r="F4" s="22">
        <v>0.1</v>
      </c>
    </row>
    <row r="5" spans="1:6">
      <c r="A5">
        <v>3</v>
      </c>
      <c r="B5" s="18">
        <f>1.2352*850000</f>
        <v>1049920</v>
      </c>
      <c r="C5" s="18">
        <v>400000</v>
      </c>
      <c r="D5" s="18">
        <f t="shared" si="0"/>
        <v>1449920</v>
      </c>
      <c r="E5" s="21">
        <f t="shared" si="1"/>
        <v>6.2354104846686451E-2</v>
      </c>
      <c r="F5" s="22">
        <v>0.08</v>
      </c>
    </row>
    <row r="6" spans="1:6">
      <c r="A6">
        <v>4</v>
      </c>
      <c r="B6" s="18">
        <f>1.2352*1250000</f>
        <v>1544000</v>
      </c>
      <c r="C6" s="18">
        <v>400000</v>
      </c>
      <c r="D6" s="18">
        <f t="shared" si="0"/>
        <v>1944000</v>
      </c>
      <c r="E6" s="21">
        <f t="shared" si="1"/>
        <v>8.360211585601858E-2</v>
      </c>
      <c r="F6" s="22">
        <v>0.08</v>
      </c>
    </row>
    <row r="7" spans="1:6">
      <c r="A7">
        <v>5</v>
      </c>
      <c r="B7" s="18">
        <f>1.2352*1250000</f>
        <v>1544000</v>
      </c>
      <c r="C7" s="18">
        <v>400000</v>
      </c>
      <c r="D7" s="18">
        <f t="shared" si="0"/>
        <v>1944000</v>
      </c>
      <c r="E7" s="21">
        <f t="shared" si="1"/>
        <v>8.360211585601858E-2</v>
      </c>
      <c r="F7" s="22">
        <v>0.08</v>
      </c>
    </row>
    <row r="8" spans="1:6">
      <c r="A8">
        <v>6</v>
      </c>
      <c r="B8" s="18">
        <f>1.2352*1300000</f>
        <v>1605760</v>
      </c>
      <c r="C8" s="18">
        <v>400000</v>
      </c>
      <c r="D8" s="18">
        <f t="shared" si="0"/>
        <v>2005760</v>
      </c>
      <c r="E8" s="21">
        <f t="shared" si="1"/>
        <v>8.62581172321851E-2</v>
      </c>
      <c r="F8" s="22">
        <v>0.08</v>
      </c>
    </row>
    <row r="9" spans="1:6">
      <c r="A9">
        <v>7</v>
      </c>
      <c r="B9" s="18">
        <f>1.2352*800000</f>
        <v>988160.00000000012</v>
      </c>
      <c r="C9" s="18">
        <v>400000</v>
      </c>
      <c r="D9" s="18">
        <f t="shared" si="0"/>
        <v>1388160</v>
      </c>
      <c r="E9" s="21">
        <f t="shared" si="1"/>
        <v>5.9698103470519931E-2</v>
      </c>
      <c r="F9" s="22">
        <v>0.06</v>
      </c>
    </row>
    <row r="10" spans="1:6">
      <c r="A10">
        <v>8</v>
      </c>
      <c r="B10" s="18">
        <f>1.2352*400000</f>
        <v>494080.00000000006</v>
      </c>
      <c r="C10" s="18">
        <v>400000</v>
      </c>
      <c r="D10" s="18">
        <f t="shared" si="0"/>
        <v>894080</v>
      </c>
      <c r="E10" s="21">
        <f t="shared" si="1"/>
        <v>3.8450092461187801E-2</v>
      </c>
      <c r="F10" s="22">
        <v>0.04</v>
      </c>
    </row>
    <row r="11" spans="1:6">
      <c r="A11">
        <v>9</v>
      </c>
      <c r="B11" s="18">
        <f>1.2352*400000</f>
        <v>494080.00000000006</v>
      </c>
      <c r="C11" s="18">
        <v>300000</v>
      </c>
      <c r="D11" s="18">
        <f t="shared" si="0"/>
        <v>794080</v>
      </c>
      <c r="E11" s="21">
        <f t="shared" si="1"/>
        <v>3.4149572098223883E-2</v>
      </c>
      <c r="F11" s="22">
        <v>0.04</v>
      </c>
    </row>
    <row r="12" spans="1:6">
      <c r="A12">
        <v>10</v>
      </c>
      <c r="B12" s="18">
        <f>1.2352*1350000</f>
        <v>1667520</v>
      </c>
      <c r="C12" s="18">
        <v>300000</v>
      </c>
      <c r="D12" s="18">
        <f t="shared" si="0"/>
        <v>1967520</v>
      </c>
      <c r="E12" s="21">
        <f t="shared" si="1"/>
        <v>8.4613598245387694E-2</v>
      </c>
      <c r="F12" s="22">
        <v>0.08</v>
      </c>
    </row>
    <row r="13" spans="1:6">
      <c r="A13">
        <v>11</v>
      </c>
      <c r="B13" s="18">
        <f>1.2352*1350000</f>
        <v>1667520</v>
      </c>
      <c r="C13" s="18">
        <v>300000</v>
      </c>
      <c r="D13" s="18">
        <f t="shared" si="0"/>
        <v>1967520</v>
      </c>
      <c r="E13" s="21">
        <f t="shared" si="1"/>
        <v>8.4613598245387694E-2</v>
      </c>
      <c r="F13" s="22">
        <v>0.08</v>
      </c>
    </row>
    <row r="14" spans="1:6">
      <c r="A14">
        <v>12</v>
      </c>
      <c r="B14" s="18">
        <f>1.2352*1580000</f>
        <v>1951616.0000000002</v>
      </c>
      <c r="C14" s="18">
        <v>300000</v>
      </c>
      <c r="D14" s="18">
        <f t="shared" si="0"/>
        <v>2251616</v>
      </c>
      <c r="E14" s="21">
        <f t="shared" si="1"/>
        <v>9.6831204575753671E-2</v>
      </c>
      <c r="F14" s="22">
        <v>0.08</v>
      </c>
    </row>
    <row r="15" spans="1:6">
      <c r="A15">
        <v>13</v>
      </c>
      <c r="B15" s="18">
        <f>1.2352*1000000</f>
        <v>1235200</v>
      </c>
      <c r="C15" s="18">
        <v>300000</v>
      </c>
      <c r="D15" s="18">
        <f t="shared" si="0"/>
        <v>1535200</v>
      </c>
      <c r="E15" s="21">
        <f t="shared" si="1"/>
        <v>6.6021588612222085E-2</v>
      </c>
      <c r="F15" s="22">
        <v>0.1</v>
      </c>
    </row>
    <row r="16" spans="1:6" ht="26.25">
      <c r="B16" s="19">
        <f>SUM(B3:B15)</f>
        <v>18070976</v>
      </c>
      <c r="C16" s="19">
        <f>SUM(C3:C15)</f>
        <v>5200000</v>
      </c>
      <c r="D16" s="18">
        <f t="shared" si="0"/>
        <v>23270976</v>
      </c>
      <c r="E16" s="20">
        <f>SUM(E3:E15)</f>
        <v>1.0007730615404464</v>
      </c>
      <c r="F16" s="23">
        <f>SUM(F3:F15)</f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25</vt:i4>
      </vt:variant>
    </vt:vector>
  </HeadingPairs>
  <TitlesOfParts>
    <vt:vector size="40" baseType="lpstr">
      <vt:lpstr>แบบ ปร.6</vt:lpstr>
      <vt:lpstr>ใบสรุปแบบ ปร.5 (ก) </vt:lpstr>
      <vt:lpstr>ใบสรุปแบบ ปร.5 (ข)</vt:lpstr>
      <vt:lpstr>แบบ ปร.4_อาคาร </vt:lpstr>
      <vt:lpstr>ฟฟ.</vt:lpstr>
      <vt:lpstr>ปป.ภายใน</vt:lpstr>
      <vt:lpstr>ถนน+ลาน+ภูมิทัศน์</vt:lpstr>
      <vt:lpstr>ฟฟ.ภนอ.</vt:lpstr>
      <vt:lpstr>ปป.ภายนอก</vt:lpstr>
      <vt:lpstr>แบบ ปร.4(พ)</vt:lpstr>
      <vt:lpstr>แบบแสดงการคำนวณ ฯ(พ)ตามข้อกำหนด</vt:lpstr>
      <vt:lpstr>ครุภัณฑ์</vt:lpstr>
      <vt:lpstr>F_Advance(งานอาคาร)</vt:lpstr>
      <vt:lpstr>F_Advance(สะพาน)</vt:lpstr>
      <vt:lpstr>งวดงาน</vt:lpstr>
      <vt:lpstr>BUDJET</vt:lpstr>
      <vt:lpstr>FBUILD</vt:lpstr>
      <vt:lpstr>ครุภัณฑ์!Print_Area</vt:lpstr>
      <vt:lpstr>'ถนน+ลาน+ภูมิทัศน์'!Print_Area</vt:lpstr>
      <vt:lpstr>'แบบ ปร.4(พ)'!Print_Area</vt:lpstr>
      <vt:lpstr>'แบบ ปร.4_อาคาร '!Print_Area</vt:lpstr>
      <vt:lpstr>'แบบ ปร.6'!Print_Area</vt:lpstr>
      <vt:lpstr>'แบบแสดงการคำนวณ ฯ(พ)ตามข้อกำหนด'!Print_Area</vt:lpstr>
      <vt:lpstr>'ใบสรุปแบบ ปร.5 (ก) '!Print_Area</vt:lpstr>
      <vt:lpstr>'ใบสรุปแบบ ปร.5 (ข)'!Print_Area</vt:lpstr>
      <vt:lpstr>ปป.ภายนอก!Print_Area</vt:lpstr>
      <vt:lpstr>ปป.ภายใน!Print_Area</vt:lpstr>
      <vt:lpstr>ฟฟ.!Print_Area</vt:lpstr>
      <vt:lpstr>ฟฟ.ภนอ.!Print_Area</vt:lpstr>
      <vt:lpstr>ครุภัณฑ์!Print_Titles</vt:lpstr>
      <vt:lpstr>'ถนน+ลาน+ภูมิทัศน์'!Print_Titles</vt:lpstr>
      <vt:lpstr>'แบบ ปร.4(พ)'!Print_Titles</vt:lpstr>
      <vt:lpstr>'แบบ ปร.4_อาคาร '!Print_Titles</vt:lpstr>
      <vt:lpstr>ปป.ภายนอก!Print_Titles</vt:lpstr>
      <vt:lpstr>ปป.ภายใน!Print_Titles</vt:lpstr>
      <vt:lpstr>ฟฟ.!Print_Titles</vt:lpstr>
      <vt:lpstr>ฟฟ.ภนอ.!Print_Titles</vt:lpstr>
      <vt:lpstr>RET_0</vt:lpstr>
      <vt:lpstr>RET_10</vt:lpstr>
      <vt:lpstr>RET_5</vt:lpstr>
    </vt:vector>
  </TitlesOfParts>
  <Company>Navy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</dc:creator>
  <cp:lastModifiedBy>Windows User</cp:lastModifiedBy>
  <cp:lastPrinted>2020-01-09T04:55:49Z</cp:lastPrinted>
  <dcterms:created xsi:type="dcterms:W3CDTF">1998-05-25T01:58:18Z</dcterms:created>
  <dcterms:modified xsi:type="dcterms:W3CDTF">2020-01-09T05:06:21Z</dcterms:modified>
</cp:coreProperties>
</file>