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75" yWindow="30" windowWidth="12120" windowHeight="8715" tabRatio="918" firstSheet="3" activeTab="9"/>
  </bookViews>
  <sheets>
    <sheet name="แบบ ปร.6" sheetId="19" r:id="rId1"/>
    <sheet name="ใบสรุปแบบ ปร.5 (ก) " sheetId="2" r:id="rId2"/>
    <sheet name="ใบสรุปแบบ ปร.5 (ข)" sheetId="30" r:id="rId3"/>
    <sheet name="แบบ ปร.4_อาคาร" sheetId="29" r:id="rId4"/>
    <sheet name="แบบ ปร.4ไฟฟ้าภายใน" sheetId="45" r:id="rId5"/>
    <sheet name="แบบ ปร.4_ประปาภายใน" sheetId="44" r:id="rId6"/>
    <sheet name="แบบ ปร.4 ภูมิ+ถนน+ลาน" sheetId="37" r:id="rId7"/>
    <sheet name="แบบ ปร.ไฟฟ้านอก" sheetId="46" r:id="rId8"/>
    <sheet name="แบบ ปร.ประปานอก" sheetId="47" r:id="rId9"/>
    <sheet name="แบบ ปร.4_ครุภัณฑ์" sheetId="38" r:id="rId10"/>
    <sheet name="แบบ ปร.4(พ)" sheetId="41" state="hidden" r:id="rId11"/>
    <sheet name="แบบแสดงการคำนวณ ฯ(พ)ตามข้อกำหนด" sheetId="23" state="hidden" r:id="rId12"/>
    <sheet name="F_Advance(งานอาคาร)" sheetId="24" state="hidden" r:id="rId13"/>
    <sheet name="F_Advance(งานทาง)" sheetId="43" state="hidden" r:id="rId14"/>
    <sheet name="F_Advance(สะพาน)" sheetId="42" state="hidden" r:id="rId15"/>
    <sheet name="งวดงาน" sheetId="26" state="hidden" r:id="rId16"/>
  </sheets>
  <definedNames>
    <definedName name="BUDJET1">'F_Advance(งานอาคาร)'!$A$5:$A$29</definedName>
    <definedName name="BUDJET2">'F_Advance(งานทาง)'!$A$6:$A$43</definedName>
    <definedName name="BUDJET3" localSheetId="13">'F_Advance(งานทาง)'!$A$6:$A$43</definedName>
    <definedName name="BUDJET3">'F_Advance(สะพาน)'!$A$5:$A$45</definedName>
    <definedName name="FBRIDGE">'F_Advance(สะพาน)'!$A$1:$Q$45</definedName>
    <definedName name="FBUILD">'F_Advance(งานอาคาร)'!$A$2:$Q$29</definedName>
    <definedName name="FROAD">'F_Advance(งานทาง)'!$A$3:$AK$43</definedName>
    <definedName name="_xlnm.Print_Area" localSheetId="6">'แบบ ปร.4 ภูมิ+ถนน+ลาน'!$A$1:$J$47</definedName>
    <definedName name="_xlnm.Print_Area" localSheetId="9">'แบบ ปร.4_ครุภัณฑ์'!$A$1:$J$45</definedName>
    <definedName name="_xlnm.Print_Area" localSheetId="5">'แบบ ปร.4_ประปาภายใน'!$A$1:$J$283</definedName>
    <definedName name="_xlnm.Print_Area" localSheetId="3">'แบบ ปร.4_อาคาร'!$A$1:$J$217</definedName>
    <definedName name="_xlnm.Print_Area" localSheetId="4">'แบบ ปร.4ไฟฟ้าภายใน'!$A$1:$J$218</definedName>
    <definedName name="_xlnm.Print_Area" localSheetId="0">'แบบ ปร.6'!$A$1:$D$38</definedName>
    <definedName name="_xlnm.Print_Area" localSheetId="8">'แบบ ปร.ประปานอก'!$A$1:$J$128</definedName>
    <definedName name="_xlnm.Print_Area" localSheetId="7">'แบบ ปร.ไฟฟ้านอก'!$A$1:$J$67</definedName>
    <definedName name="_xlnm.Print_Area" localSheetId="11">'แบบแสดงการคำนวณ ฯ(พ)ตามข้อกำหนด'!$A$1:$L$38</definedName>
    <definedName name="_xlnm.Print_Area" localSheetId="1">'ใบสรุปแบบ ปร.5 (ก) '!$A$1:$I$37</definedName>
    <definedName name="_xlnm.Print_Area" localSheetId="2">'ใบสรุปแบบ ปร.5 (ข)'!$A$1:$I$36</definedName>
    <definedName name="_xlnm.Print_Titles" localSheetId="6">'แบบ ปร.4 ภูมิ+ถนน+ลาน'!$1:$7</definedName>
    <definedName name="_xlnm.Print_Titles" localSheetId="10">'แบบ ปร.4(พ)'!$1:$8</definedName>
    <definedName name="_xlnm.Print_Titles" localSheetId="9">'แบบ ปร.4_ครุภัณฑ์'!$1:$7</definedName>
    <definedName name="_xlnm.Print_Titles" localSheetId="5">'แบบ ปร.4_ประปาภายใน'!$1:$7</definedName>
    <definedName name="_xlnm.Print_Titles" localSheetId="3">'แบบ ปร.4_อาคาร'!$1:$7</definedName>
    <definedName name="_xlnm.Print_Titles" localSheetId="4">'แบบ ปร.4ไฟฟ้าภายใน'!$1:$7</definedName>
    <definedName name="_xlnm.Print_Titles" localSheetId="8">'แบบ ปร.ประปานอก'!$1:$7</definedName>
    <definedName name="_xlnm.Print_Titles" localSheetId="7">'แบบ ปร.ไฟฟ้านอก'!$1:$7</definedName>
    <definedName name="RET_0">'F_Advance(งานอาคาร)'!$A$4:$E$29</definedName>
    <definedName name="RET_10">'F_Advance(งานอาคาร)'!$A$4:$A$29,'F_Advance(งานอาคาร)'!$J$4:$L$29</definedName>
    <definedName name="RET_5">'F_Advance(งานอาคาร)'!$A$4:$A$29,'F_Advance(งานอาคาร)'!$F$4:$I$29</definedName>
  </definedNames>
  <calcPr calcId="125725"/>
</workbook>
</file>

<file path=xl/calcChain.xml><?xml version="1.0" encoding="utf-8"?>
<calcChain xmlns="http://schemas.openxmlformats.org/spreadsheetml/2006/main">
  <c r="H148" i="44"/>
  <c r="I148" s="1"/>
  <c r="F148"/>
  <c r="F147"/>
  <c r="I147" s="1"/>
  <c r="H146"/>
  <c r="I146" s="1"/>
  <c r="F146"/>
  <c r="H145"/>
  <c r="F145"/>
  <c r="H144"/>
  <c r="F144"/>
  <c r="H143"/>
  <c r="I143" s="1"/>
  <c r="F143"/>
  <c r="H142"/>
  <c r="F142"/>
  <c r="F139"/>
  <c r="I139" s="1"/>
  <c r="F138"/>
  <c r="I138" s="1"/>
  <c r="F137"/>
  <c r="I137" s="1"/>
  <c r="F131"/>
  <c r="I131" s="1"/>
  <c r="F130"/>
  <c r="I130" s="1"/>
  <c r="F129"/>
  <c r="I129" s="1"/>
  <c r="F128"/>
  <c r="I128" s="1"/>
  <c r="H127"/>
  <c r="I127" s="1"/>
  <c r="F125"/>
  <c r="I125" s="1"/>
  <c r="F124"/>
  <c r="I124" s="1"/>
  <c r="F123"/>
  <c r="I123" s="1"/>
  <c r="F122"/>
  <c r="I122" s="1"/>
  <c r="F121"/>
  <c r="I121" s="1"/>
  <c r="F269"/>
  <c r="I269" s="1"/>
  <c r="I268"/>
  <c r="F268"/>
  <c r="F267"/>
  <c r="I267" s="1"/>
  <c r="F266"/>
  <c r="I266" s="1"/>
  <c r="F265"/>
  <c r="I265" s="1"/>
  <c r="F278"/>
  <c r="I278" s="1"/>
  <c r="F276"/>
  <c r="I276" s="1"/>
  <c r="F277"/>
  <c r="I277" s="1"/>
  <c r="I275"/>
  <c r="F275"/>
  <c r="F274"/>
  <c r="I274" s="1"/>
  <c r="I145" l="1"/>
  <c r="H155"/>
  <c r="I144"/>
  <c r="I142"/>
  <c r="I156" s="1"/>
  <c r="F134"/>
  <c r="F155"/>
  <c r="K155" s="1"/>
  <c r="H280"/>
  <c r="F280"/>
  <c r="F282" s="1"/>
  <c r="I280" l="1"/>
  <c r="H119"/>
  <c r="I119" s="1"/>
  <c r="H117"/>
  <c r="H259"/>
  <c r="I259" s="1"/>
  <c r="H272"/>
  <c r="I117" l="1"/>
  <c r="I135" s="1"/>
  <c r="H134"/>
  <c r="I272"/>
  <c r="I283" s="1"/>
  <c r="H282"/>
  <c r="K282" s="1"/>
  <c r="F39" i="38"/>
  <c r="I39" s="1"/>
  <c r="F36"/>
  <c r="I36" s="1"/>
  <c r="F34"/>
  <c r="I34" s="1"/>
  <c r="F31"/>
  <c r="I31" s="1"/>
  <c r="F30"/>
  <c r="I30" s="1"/>
  <c r="H107" i="44"/>
  <c r="I107" s="1"/>
  <c r="F29" i="38"/>
  <c r="I29" s="1"/>
  <c r="F28"/>
  <c r="F40" i="29"/>
  <c r="H116" i="47"/>
  <c r="I116" s="1"/>
  <c r="F116"/>
  <c r="H115"/>
  <c r="I115" s="1"/>
  <c r="F114"/>
  <c r="I114" s="1"/>
  <c r="F113"/>
  <c r="I113" s="1"/>
  <c r="F112"/>
  <c r="I112" s="1"/>
  <c r="F103"/>
  <c r="I103" s="1"/>
  <c r="F101"/>
  <c r="I101" s="1"/>
  <c r="F100"/>
  <c r="I100" s="1"/>
  <c r="F98"/>
  <c r="I98" s="1"/>
  <c r="F95"/>
  <c r="I95" s="1"/>
  <c r="F93"/>
  <c r="I93" s="1"/>
  <c r="F92"/>
  <c r="I92" s="1"/>
  <c r="F91"/>
  <c r="I91" s="1"/>
  <c r="F81"/>
  <c r="I81" s="1"/>
  <c r="F80"/>
  <c r="I80" s="1"/>
  <c r="F79"/>
  <c r="I79" s="1"/>
  <c r="F78"/>
  <c r="I78" s="1"/>
  <c r="F77"/>
  <c r="I77" s="1"/>
  <c r="F76"/>
  <c r="I76" s="1"/>
  <c r="H75"/>
  <c r="F75"/>
  <c r="F74"/>
  <c r="I74" s="1"/>
  <c r="F73"/>
  <c r="I73" s="1"/>
  <c r="F72"/>
  <c r="I72" s="1"/>
  <c r="H71"/>
  <c r="F71"/>
  <c r="F58"/>
  <c r="I58" s="1"/>
  <c r="H57"/>
  <c r="I57" s="1"/>
  <c r="F57"/>
  <c r="H56"/>
  <c r="I56" s="1"/>
  <c r="I55"/>
  <c r="F55"/>
  <c r="H53"/>
  <c r="F53"/>
  <c r="H52"/>
  <c r="I52" s="1"/>
  <c r="F52"/>
  <c r="H51"/>
  <c r="F51"/>
  <c r="I50"/>
  <c r="F50"/>
  <c r="H42"/>
  <c r="F42"/>
  <c r="H41"/>
  <c r="I41" s="1"/>
  <c r="F41"/>
  <c r="H40"/>
  <c r="F40"/>
  <c r="H39"/>
  <c r="I39" s="1"/>
  <c r="F39"/>
  <c r="H38"/>
  <c r="F38"/>
  <c r="H37"/>
  <c r="I37" s="1"/>
  <c r="F37"/>
  <c r="F36"/>
  <c r="I36" s="1"/>
  <c r="F34"/>
  <c r="I34" s="1"/>
  <c r="I33"/>
  <c r="H33"/>
  <c r="F33"/>
  <c r="H32"/>
  <c r="F32"/>
  <c r="H31"/>
  <c r="F31"/>
  <c r="H18"/>
  <c r="F18"/>
  <c r="F17"/>
  <c r="I17" s="1"/>
  <c r="F16"/>
  <c r="I16" s="1"/>
  <c r="F15"/>
  <c r="I15" s="1"/>
  <c r="F13"/>
  <c r="I13" s="1"/>
  <c r="H11"/>
  <c r="F11"/>
  <c r="H10"/>
  <c r="F10"/>
  <c r="H56" i="46"/>
  <c r="I56" s="1"/>
  <c r="F55"/>
  <c r="I55" s="1"/>
  <c r="F54"/>
  <c r="I54" s="1"/>
  <c r="F53"/>
  <c r="I53" s="1"/>
  <c r="F52"/>
  <c r="I52" s="1"/>
  <c r="F51"/>
  <c r="I51" s="1"/>
  <c r="F50"/>
  <c r="I50" s="1"/>
  <c r="I49"/>
  <c r="F49"/>
  <c r="F44"/>
  <c r="I44" s="1"/>
  <c r="F43"/>
  <c r="I43" s="1"/>
  <c r="F42"/>
  <c r="I42" s="1"/>
  <c r="F41"/>
  <c r="I41" s="1"/>
  <c r="F40"/>
  <c r="I40" s="1"/>
  <c r="F39"/>
  <c r="I39" s="1"/>
  <c r="F38"/>
  <c r="I38" s="1"/>
  <c r="F37"/>
  <c r="I37" s="1"/>
  <c r="F36"/>
  <c r="I36" s="1"/>
  <c r="F35"/>
  <c r="I35" s="1"/>
  <c r="F34"/>
  <c r="I34" s="1"/>
  <c r="F33"/>
  <c r="I33" s="1"/>
  <c r="F32"/>
  <c r="I32" s="1"/>
  <c r="F31"/>
  <c r="I31" s="1"/>
  <c r="F30"/>
  <c r="I30" s="1"/>
  <c r="F29"/>
  <c r="F24"/>
  <c r="I24" s="1"/>
  <c r="F23"/>
  <c r="I23" s="1"/>
  <c r="F21"/>
  <c r="I21" s="1"/>
  <c r="F20"/>
  <c r="I20" s="1"/>
  <c r="F19"/>
  <c r="I19" s="1"/>
  <c r="F18"/>
  <c r="I18" s="1"/>
  <c r="F17"/>
  <c r="I17" s="1"/>
  <c r="F16"/>
  <c r="I16" s="1"/>
  <c r="F15"/>
  <c r="I15" s="1"/>
  <c r="F14"/>
  <c r="I14" s="1"/>
  <c r="F13"/>
  <c r="I13" s="1"/>
  <c r="F12"/>
  <c r="I12" s="1"/>
  <c r="F11"/>
  <c r="I11" s="1"/>
  <c r="F10"/>
  <c r="I10" s="1"/>
  <c r="F9"/>
  <c r="I9" s="1"/>
  <c r="F46" l="1"/>
  <c r="K46" s="1"/>
  <c r="F67" i="47"/>
  <c r="I40"/>
  <c r="F66" i="46"/>
  <c r="K66" s="1"/>
  <c r="I29"/>
  <c r="I47" s="1"/>
  <c r="H66"/>
  <c r="F46" i="47"/>
  <c r="I38"/>
  <c r="F127"/>
  <c r="H26"/>
  <c r="H87"/>
  <c r="I128"/>
  <c r="I10"/>
  <c r="I42"/>
  <c r="H67"/>
  <c r="I53"/>
  <c r="F87"/>
  <c r="F44" i="38"/>
  <c r="K44" s="1"/>
  <c r="I67" i="46"/>
  <c r="I108" i="47"/>
  <c r="I27" i="46"/>
  <c r="F26"/>
  <c r="I31" i="47"/>
  <c r="I51"/>
  <c r="I71"/>
  <c r="I88" s="1"/>
  <c r="I75"/>
  <c r="I28" i="38"/>
  <c r="F107" i="47"/>
  <c r="F26"/>
  <c r="I11"/>
  <c r="I18"/>
  <c r="I32"/>
  <c r="H127"/>
  <c r="H46"/>
  <c r="H35" i="45"/>
  <c r="H34"/>
  <c r="H32"/>
  <c r="H203"/>
  <c r="I203" s="1"/>
  <c r="F202"/>
  <c r="I202" s="1"/>
  <c r="F201"/>
  <c r="I201" s="1"/>
  <c r="F200"/>
  <c r="I200" s="1"/>
  <c r="F199"/>
  <c r="I199" s="1"/>
  <c r="F194"/>
  <c r="I194" s="1"/>
  <c r="F193"/>
  <c r="I193" s="1"/>
  <c r="F192"/>
  <c r="I192" s="1"/>
  <c r="F191"/>
  <c r="I191" s="1"/>
  <c r="F190"/>
  <c r="I190" s="1"/>
  <c r="F189"/>
  <c r="I189" s="1"/>
  <c r="F188"/>
  <c r="I188" s="1"/>
  <c r="F187"/>
  <c r="I187" s="1"/>
  <c r="F186"/>
  <c r="I186" s="1"/>
  <c r="F185"/>
  <c r="I185" s="1"/>
  <c r="F184"/>
  <c r="I184" s="1"/>
  <c r="F183"/>
  <c r="I183" s="1"/>
  <c r="F182"/>
  <c r="I182" s="1"/>
  <c r="F181"/>
  <c r="I181" s="1"/>
  <c r="F180"/>
  <c r="I180" s="1"/>
  <c r="F178"/>
  <c r="I178" s="1"/>
  <c r="F174"/>
  <c r="I174" s="1"/>
  <c r="H173"/>
  <c r="F173"/>
  <c r="I172"/>
  <c r="H172"/>
  <c r="F172"/>
  <c r="H171"/>
  <c r="F171"/>
  <c r="F170"/>
  <c r="I170" s="1"/>
  <c r="H169"/>
  <c r="F169"/>
  <c r="H168"/>
  <c r="F168"/>
  <c r="H167"/>
  <c r="F167"/>
  <c r="H166"/>
  <c r="F166"/>
  <c r="H165"/>
  <c r="F165"/>
  <c r="F163"/>
  <c r="I163" s="1"/>
  <c r="H162"/>
  <c r="F162"/>
  <c r="H161"/>
  <c r="F161"/>
  <c r="H160"/>
  <c r="F160"/>
  <c r="H159"/>
  <c r="F159"/>
  <c r="F153"/>
  <c r="I153" s="1"/>
  <c r="H152"/>
  <c r="F152"/>
  <c r="H151"/>
  <c r="F151"/>
  <c r="H150"/>
  <c r="F150"/>
  <c r="H149"/>
  <c r="F149"/>
  <c r="H148"/>
  <c r="F148"/>
  <c r="H147"/>
  <c r="F147"/>
  <c r="H146"/>
  <c r="F146"/>
  <c r="H145"/>
  <c r="F145"/>
  <c r="H144"/>
  <c r="F144"/>
  <c r="H142"/>
  <c r="F142"/>
  <c r="H141"/>
  <c r="F141"/>
  <c r="H140"/>
  <c r="F140"/>
  <c r="H139"/>
  <c r="F139"/>
  <c r="H138"/>
  <c r="F138"/>
  <c r="H137"/>
  <c r="F137"/>
  <c r="H131"/>
  <c r="F131"/>
  <c r="H130"/>
  <c r="F130"/>
  <c r="H129"/>
  <c r="F129"/>
  <c r="H128"/>
  <c r="F128"/>
  <c r="F126"/>
  <c r="I126" s="1"/>
  <c r="F125"/>
  <c r="I125" s="1"/>
  <c r="F124"/>
  <c r="I124" s="1"/>
  <c r="F123"/>
  <c r="I123" s="1"/>
  <c r="H122"/>
  <c r="F122"/>
  <c r="F119"/>
  <c r="I119" s="1"/>
  <c r="F118"/>
  <c r="I118" s="1"/>
  <c r="F117"/>
  <c r="I117" s="1"/>
  <c r="F116"/>
  <c r="I116" s="1"/>
  <c r="F110"/>
  <c r="I110" s="1"/>
  <c r="H109"/>
  <c r="F109"/>
  <c r="I109" s="1"/>
  <c r="F106"/>
  <c r="I106" s="1"/>
  <c r="F105"/>
  <c r="I105" s="1"/>
  <c r="H104"/>
  <c r="F104"/>
  <c r="F102"/>
  <c r="I102" s="1"/>
  <c r="F101"/>
  <c r="I101" s="1"/>
  <c r="F100"/>
  <c r="I100" s="1"/>
  <c r="H99"/>
  <c r="F99"/>
  <c r="F97"/>
  <c r="I97" s="1"/>
  <c r="H96"/>
  <c r="F96"/>
  <c r="I96" s="1"/>
  <c r="F88"/>
  <c r="I88" s="1"/>
  <c r="F87"/>
  <c r="I87" s="1"/>
  <c r="F85"/>
  <c r="I85" s="1"/>
  <c r="F84"/>
  <c r="I84" s="1"/>
  <c r="F83"/>
  <c r="I83" s="1"/>
  <c r="F82"/>
  <c r="I82" s="1"/>
  <c r="F81"/>
  <c r="I81" s="1"/>
  <c r="F80"/>
  <c r="I80" s="1"/>
  <c r="F79"/>
  <c r="I79" s="1"/>
  <c r="H78"/>
  <c r="F78"/>
  <c r="F76"/>
  <c r="I76" s="1"/>
  <c r="F75"/>
  <c r="I75" s="1"/>
  <c r="F74"/>
  <c r="I74" s="1"/>
  <c r="F64"/>
  <c r="I64" s="1"/>
  <c r="F63"/>
  <c r="I63" s="1"/>
  <c r="F62"/>
  <c r="I62" s="1"/>
  <c r="F61"/>
  <c r="I61" s="1"/>
  <c r="F60"/>
  <c r="I60" s="1"/>
  <c r="F59"/>
  <c r="I59" s="1"/>
  <c r="F58"/>
  <c r="I58" s="1"/>
  <c r="F57"/>
  <c r="I57" s="1"/>
  <c r="F56"/>
  <c r="I56" s="1"/>
  <c r="F55"/>
  <c r="I55" s="1"/>
  <c r="F54"/>
  <c r="I54" s="1"/>
  <c r="F53"/>
  <c r="I53" s="1"/>
  <c r="F47"/>
  <c r="I47" s="1"/>
  <c r="F46"/>
  <c r="I46" s="1"/>
  <c r="F45"/>
  <c r="I45" s="1"/>
  <c r="F44"/>
  <c r="I44" s="1"/>
  <c r="H43"/>
  <c r="F43"/>
  <c r="I43" s="1"/>
  <c r="F40"/>
  <c r="I40" s="1"/>
  <c r="F39"/>
  <c r="I39" s="1"/>
  <c r="H38"/>
  <c r="F38"/>
  <c r="I38" s="1"/>
  <c r="F35"/>
  <c r="I35" s="1"/>
  <c r="F34"/>
  <c r="H33"/>
  <c r="F33"/>
  <c r="F32"/>
  <c r="I32" s="1"/>
  <c r="H25"/>
  <c r="F25"/>
  <c r="H23"/>
  <c r="F23"/>
  <c r="H21"/>
  <c r="I21" s="1"/>
  <c r="F21"/>
  <c r="H19"/>
  <c r="F19"/>
  <c r="H17"/>
  <c r="F17"/>
  <c r="H15"/>
  <c r="F15"/>
  <c r="H14"/>
  <c r="F14"/>
  <c r="H12"/>
  <c r="F12"/>
  <c r="I12" s="1"/>
  <c r="H10"/>
  <c r="F10"/>
  <c r="I10" l="1"/>
  <c r="I128"/>
  <c r="I148"/>
  <c r="I161"/>
  <c r="I165"/>
  <c r="I173"/>
  <c r="K67" i="47"/>
  <c r="I160" i="45"/>
  <c r="K127" i="47"/>
  <c r="I99" i="45"/>
  <c r="I68" i="47"/>
  <c r="K26"/>
  <c r="K46"/>
  <c r="I14" i="45"/>
  <c r="I78"/>
  <c r="I129"/>
  <c r="I131"/>
  <c r="I145"/>
  <c r="I19"/>
  <c r="I122"/>
  <c r="I137"/>
  <c r="I141"/>
  <c r="I146"/>
  <c r="I171"/>
  <c r="I34"/>
  <c r="I104"/>
  <c r="I142"/>
  <c r="I149"/>
  <c r="I166"/>
  <c r="I168"/>
  <c r="I27" i="47"/>
  <c r="I15" i="45"/>
  <c r="I23"/>
  <c r="I130"/>
  <c r="I139"/>
  <c r="I144"/>
  <c r="I17"/>
  <c r="I25"/>
  <c r="I152"/>
  <c r="I169"/>
  <c r="I47" i="47"/>
  <c r="K87"/>
  <c r="I45" i="38"/>
  <c r="F11" i="30" s="1"/>
  <c r="I33" i="45"/>
  <c r="I138"/>
  <c r="I140"/>
  <c r="I150"/>
  <c r="I159"/>
  <c r="I162"/>
  <c r="I167"/>
  <c r="F14" i="2"/>
  <c r="I69" i="46"/>
  <c r="I147" i="45"/>
  <c r="I151"/>
  <c r="H98" i="29"/>
  <c r="F98"/>
  <c r="H94"/>
  <c r="F18" i="38"/>
  <c r="I18" s="1"/>
  <c r="F17"/>
  <c r="I17" s="1"/>
  <c r="F16"/>
  <c r="I16" s="1"/>
  <c r="F15"/>
  <c r="I15" s="1"/>
  <c r="F14"/>
  <c r="I14" s="1"/>
  <c r="F13"/>
  <c r="I13" s="1"/>
  <c r="F12"/>
  <c r="I12" s="1"/>
  <c r="F11"/>
  <c r="I11" s="1"/>
  <c r="F10"/>
  <c r="I10" s="1"/>
  <c r="F9"/>
  <c r="I9" s="1"/>
  <c r="F15" i="2" l="1"/>
  <c r="I98" i="29"/>
  <c r="H111"/>
  <c r="I26" i="38"/>
  <c r="F10" i="30" s="1"/>
  <c r="F25" i="38"/>
  <c r="K25" s="1"/>
  <c r="F94" i="29"/>
  <c r="I94" s="1"/>
  <c r="F99"/>
  <c r="I99" s="1"/>
  <c r="H107" i="47"/>
  <c r="F16" i="37"/>
  <c r="I16" s="1"/>
  <c r="K107" i="47" l="1"/>
  <c r="F15" i="37"/>
  <c r="I15" s="1"/>
  <c r="K26" i="46" l="1"/>
  <c r="F35" i="37" l="1"/>
  <c r="I35" s="1"/>
  <c r="F34"/>
  <c r="I34" s="1"/>
  <c r="H33"/>
  <c r="I33" s="1"/>
  <c r="F32"/>
  <c r="H31"/>
  <c r="I31" s="1"/>
  <c r="F30"/>
  <c r="H29"/>
  <c r="F14"/>
  <c r="I14" s="1"/>
  <c r="F12"/>
  <c r="F11"/>
  <c r="H10"/>
  <c r="I29" l="1"/>
  <c r="H46"/>
  <c r="I11"/>
  <c r="F26"/>
  <c r="I32"/>
  <c r="F46"/>
  <c r="I10"/>
  <c r="H26"/>
  <c r="I12"/>
  <c r="I30"/>
  <c r="K26" l="1"/>
  <c r="K46"/>
  <c r="I27"/>
  <c r="I47"/>
  <c r="F13" i="2" s="1"/>
  <c r="F4" i="47"/>
  <c r="B4"/>
  <c r="B3"/>
  <c r="B2"/>
  <c r="F4" i="46"/>
  <c r="B4"/>
  <c r="B3"/>
  <c r="B2"/>
  <c r="H257" i="44" l="1"/>
  <c r="H261" s="1"/>
  <c r="F256"/>
  <c r="I256" s="1"/>
  <c r="F255"/>
  <c r="I255" s="1"/>
  <c r="F254"/>
  <c r="I254" s="1"/>
  <c r="F252"/>
  <c r="I252" s="1"/>
  <c r="F251"/>
  <c r="I251" s="1"/>
  <c r="F250"/>
  <c r="I250" s="1"/>
  <c r="F249"/>
  <c r="I249" s="1"/>
  <c r="F248"/>
  <c r="I248" s="1"/>
  <c r="F246"/>
  <c r="I246" s="1"/>
  <c r="F245"/>
  <c r="I245" s="1"/>
  <c r="F244"/>
  <c r="F237"/>
  <c r="I237" s="1"/>
  <c r="F235"/>
  <c r="I235" s="1"/>
  <c r="F233"/>
  <c r="I233" s="1"/>
  <c r="F232"/>
  <c r="I232" s="1"/>
  <c r="F230"/>
  <c r="I230" s="1"/>
  <c r="F229"/>
  <c r="I229" s="1"/>
  <c r="F227"/>
  <c r="I227" s="1"/>
  <c r="F226"/>
  <c r="I226" s="1"/>
  <c r="F225"/>
  <c r="I225" s="1"/>
  <c r="F223"/>
  <c r="I223" s="1"/>
  <c r="F218"/>
  <c r="I218" s="1"/>
  <c r="F217"/>
  <c r="I217" s="1"/>
  <c r="F216"/>
  <c r="I216" s="1"/>
  <c r="F215"/>
  <c r="I215" s="1"/>
  <c r="F213"/>
  <c r="I213" s="1"/>
  <c r="H212"/>
  <c r="F212"/>
  <c r="H211"/>
  <c r="F211"/>
  <c r="H210"/>
  <c r="F210"/>
  <c r="H208"/>
  <c r="F208"/>
  <c r="H207"/>
  <c r="F207"/>
  <c r="F206"/>
  <c r="I206" s="1"/>
  <c r="F205"/>
  <c r="I205" s="1"/>
  <c r="H204"/>
  <c r="F204"/>
  <c r="H203"/>
  <c r="F203"/>
  <c r="H202"/>
  <c r="F202"/>
  <c r="F197"/>
  <c r="I197" s="1"/>
  <c r="F196"/>
  <c r="I196" s="1"/>
  <c r="F194"/>
  <c r="I194" s="1"/>
  <c r="F192"/>
  <c r="I192" s="1"/>
  <c r="H190"/>
  <c r="F190"/>
  <c r="H189"/>
  <c r="F189"/>
  <c r="H187"/>
  <c r="F187"/>
  <c r="F186"/>
  <c r="I186" s="1"/>
  <c r="H185"/>
  <c r="F185"/>
  <c r="H184"/>
  <c r="F184"/>
  <c r="H183"/>
  <c r="F183"/>
  <c r="F180"/>
  <c r="I180" s="1"/>
  <c r="F179"/>
  <c r="I179" s="1"/>
  <c r="F174"/>
  <c r="I174" s="1"/>
  <c r="F173"/>
  <c r="I173" s="1"/>
  <c r="F171"/>
  <c r="I171" s="1"/>
  <c r="F170"/>
  <c r="I170" s="1"/>
  <c r="H168"/>
  <c r="F168"/>
  <c r="H167"/>
  <c r="F167"/>
  <c r="H166"/>
  <c r="F166"/>
  <c r="H165"/>
  <c r="F165"/>
  <c r="F163"/>
  <c r="I163" s="1"/>
  <c r="H161"/>
  <c r="F161"/>
  <c r="H160"/>
  <c r="F160"/>
  <c r="H159"/>
  <c r="F159"/>
  <c r="F110"/>
  <c r="I110" s="1"/>
  <c r="F108"/>
  <c r="I108" s="1"/>
  <c r="H106"/>
  <c r="H105"/>
  <c r="F105"/>
  <c r="H103"/>
  <c r="F103"/>
  <c r="H101"/>
  <c r="F101"/>
  <c r="H99"/>
  <c r="F99"/>
  <c r="H97"/>
  <c r="F97"/>
  <c r="F96"/>
  <c r="H91"/>
  <c r="F91"/>
  <c r="H90"/>
  <c r="F90"/>
  <c r="F87"/>
  <c r="I87" s="1"/>
  <c r="F85"/>
  <c r="I85" s="1"/>
  <c r="H83"/>
  <c r="F83"/>
  <c r="H82"/>
  <c r="F82"/>
  <c r="H81"/>
  <c r="F81"/>
  <c r="H80"/>
  <c r="F80"/>
  <c r="H78"/>
  <c r="F78"/>
  <c r="H77"/>
  <c r="F77"/>
  <c r="F75"/>
  <c r="H69"/>
  <c r="F69"/>
  <c r="F68"/>
  <c r="I68" s="1"/>
  <c r="H67"/>
  <c r="F67"/>
  <c r="H66"/>
  <c r="F66"/>
  <c r="H65"/>
  <c r="F65"/>
  <c r="H64"/>
  <c r="F64"/>
  <c r="H63"/>
  <c r="F63"/>
  <c r="H62"/>
  <c r="F62"/>
  <c r="F59"/>
  <c r="I59" s="1"/>
  <c r="F58"/>
  <c r="I58" s="1"/>
  <c r="F56"/>
  <c r="I56" s="1"/>
  <c r="H54"/>
  <c r="F54"/>
  <c r="F48"/>
  <c r="I48" s="1"/>
  <c r="F46"/>
  <c r="I46" s="1"/>
  <c r="H45"/>
  <c r="F45"/>
  <c r="H44"/>
  <c r="F44"/>
  <c r="H42"/>
  <c r="F42"/>
  <c r="F41"/>
  <c r="I41" s="1"/>
  <c r="H40"/>
  <c r="F40"/>
  <c r="H39"/>
  <c r="F39"/>
  <c r="H38"/>
  <c r="F38"/>
  <c r="F34"/>
  <c r="I34" s="1"/>
  <c r="F32"/>
  <c r="I32" s="1"/>
  <c r="F26"/>
  <c r="I26" s="1"/>
  <c r="F25"/>
  <c r="I25" s="1"/>
  <c r="H23"/>
  <c r="F23"/>
  <c r="H21"/>
  <c r="F21"/>
  <c r="H20"/>
  <c r="F20"/>
  <c r="H18"/>
  <c r="F18"/>
  <c r="F17"/>
  <c r="I17" s="1"/>
  <c r="H16"/>
  <c r="F16"/>
  <c r="H14"/>
  <c r="F14"/>
  <c r="F13"/>
  <c r="I13" s="1"/>
  <c r="H12"/>
  <c r="F12"/>
  <c r="H11"/>
  <c r="F11"/>
  <c r="H217" i="45"/>
  <c r="F175"/>
  <c r="H91"/>
  <c r="F70"/>
  <c r="H49"/>
  <c r="F49"/>
  <c r="H28"/>
  <c r="F206" i="29"/>
  <c r="I206" s="1"/>
  <c r="F205"/>
  <c r="I205" s="1"/>
  <c r="F204"/>
  <c r="I204" s="1"/>
  <c r="F203"/>
  <c r="I203" s="1"/>
  <c r="F202"/>
  <c r="I202" s="1"/>
  <c r="H199"/>
  <c r="F199"/>
  <c r="H198"/>
  <c r="F198"/>
  <c r="F192"/>
  <c r="I192" s="1"/>
  <c r="F191"/>
  <c r="I191" s="1"/>
  <c r="F185"/>
  <c r="I185" s="1"/>
  <c r="H184"/>
  <c r="F184"/>
  <c r="H183"/>
  <c r="F183"/>
  <c r="H182"/>
  <c r="F182"/>
  <c r="H181"/>
  <c r="F181"/>
  <c r="H180"/>
  <c r="F180"/>
  <c r="I180" s="1"/>
  <c r="H179"/>
  <c r="F179"/>
  <c r="I179" s="1"/>
  <c r="H178"/>
  <c r="F178"/>
  <c r="H177"/>
  <c r="F177"/>
  <c r="F166"/>
  <c r="I166" s="1"/>
  <c r="F165"/>
  <c r="I165" s="1"/>
  <c r="F164"/>
  <c r="I164" s="1"/>
  <c r="F163"/>
  <c r="I163" s="1"/>
  <c r="F162"/>
  <c r="I162" s="1"/>
  <c r="F161"/>
  <c r="I161" s="1"/>
  <c r="F160"/>
  <c r="I160" s="1"/>
  <c r="F159"/>
  <c r="I159" s="1"/>
  <c r="F158"/>
  <c r="I158" s="1"/>
  <c r="F157"/>
  <c r="I157" s="1"/>
  <c r="F156"/>
  <c r="I156" s="1"/>
  <c r="H149"/>
  <c r="I149" s="1"/>
  <c r="H147"/>
  <c r="F147"/>
  <c r="F146"/>
  <c r="I146" s="1"/>
  <c r="H140"/>
  <c r="F140"/>
  <c r="I140" s="1"/>
  <c r="H139"/>
  <c r="F139"/>
  <c r="H138"/>
  <c r="F138"/>
  <c r="H137"/>
  <c r="F137"/>
  <c r="H136"/>
  <c r="F136"/>
  <c r="H135"/>
  <c r="F135"/>
  <c r="I135" s="1"/>
  <c r="F128"/>
  <c r="I128" s="1"/>
  <c r="H125"/>
  <c r="F125"/>
  <c r="H123"/>
  <c r="F123"/>
  <c r="H122"/>
  <c r="F122"/>
  <c r="H120"/>
  <c r="F120"/>
  <c r="H118"/>
  <c r="F118"/>
  <c r="H117"/>
  <c r="F117"/>
  <c r="I117" s="1"/>
  <c r="H116"/>
  <c r="F116"/>
  <c r="H115"/>
  <c r="F115"/>
  <c r="I115" s="1"/>
  <c r="H114"/>
  <c r="I114" s="1"/>
  <c r="F114"/>
  <c r="F96"/>
  <c r="H85"/>
  <c r="F85"/>
  <c r="H84"/>
  <c r="F84"/>
  <c r="F77"/>
  <c r="I77" s="1"/>
  <c r="C76"/>
  <c r="H76" s="1"/>
  <c r="F75"/>
  <c r="I75" s="1"/>
  <c r="F74"/>
  <c r="I74" s="1"/>
  <c r="F73"/>
  <c r="I73" s="1"/>
  <c r="F72"/>
  <c r="I72" s="1"/>
  <c r="F65"/>
  <c r="I65" s="1"/>
  <c r="H64"/>
  <c r="I64" s="1"/>
  <c r="I62"/>
  <c r="F62"/>
  <c r="F61"/>
  <c r="I61" s="1"/>
  <c r="F60"/>
  <c r="I60" s="1"/>
  <c r="F59"/>
  <c r="I59" s="1"/>
  <c r="H58"/>
  <c r="F58"/>
  <c r="H57"/>
  <c r="I57" s="1"/>
  <c r="F56"/>
  <c r="I56" s="1"/>
  <c r="H55"/>
  <c r="I55" s="1"/>
  <c r="F54"/>
  <c r="I52"/>
  <c r="H52"/>
  <c r="F52"/>
  <c r="H51"/>
  <c r="F51"/>
  <c r="N46"/>
  <c r="H46"/>
  <c r="F46"/>
  <c r="I46" s="1"/>
  <c r="H44"/>
  <c r="F44"/>
  <c r="F42"/>
  <c r="I42" s="1"/>
  <c r="F41"/>
  <c r="I41" s="1"/>
  <c r="H40"/>
  <c r="I40" s="1"/>
  <c r="H39"/>
  <c r="F39"/>
  <c r="H38"/>
  <c r="F38"/>
  <c r="H37"/>
  <c r="F37"/>
  <c r="H35"/>
  <c r="F35"/>
  <c r="H34"/>
  <c r="F34"/>
  <c r="H32"/>
  <c r="F32"/>
  <c r="F31"/>
  <c r="I31" s="1"/>
  <c r="H30"/>
  <c r="F30"/>
  <c r="I30" s="1"/>
  <c r="H25"/>
  <c r="I25" s="1"/>
  <c r="F24"/>
  <c r="I24" s="1"/>
  <c r="F23"/>
  <c r="I23" s="1"/>
  <c r="F22"/>
  <c r="I22" s="1"/>
  <c r="F21"/>
  <c r="I21" s="1"/>
  <c r="F20"/>
  <c r="I20" s="1"/>
  <c r="H19"/>
  <c r="F19"/>
  <c r="I19" s="1"/>
  <c r="H18"/>
  <c r="F18"/>
  <c r="H17"/>
  <c r="F17"/>
  <c r="I17" s="1"/>
  <c r="H15"/>
  <c r="F15"/>
  <c r="H13"/>
  <c r="F13"/>
  <c r="I13" s="1"/>
  <c r="H12"/>
  <c r="F12"/>
  <c r="H11"/>
  <c r="F11"/>
  <c r="H10"/>
  <c r="H90" l="1"/>
  <c r="I85"/>
  <c r="I118"/>
  <c r="I122"/>
  <c r="I125"/>
  <c r="I181"/>
  <c r="I183"/>
  <c r="I34"/>
  <c r="I37"/>
  <c r="I39"/>
  <c r="F113" i="44"/>
  <c r="I32" i="29"/>
  <c r="I49" s="1"/>
  <c r="I38"/>
  <c r="I116"/>
  <c r="I12"/>
  <c r="I15"/>
  <c r="I18"/>
  <c r="I84"/>
  <c r="I120"/>
  <c r="I123"/>
  <c r="I133" s="1"/>
  <c r="I136"/>
  <c r="I178"/>
  <c r="H113" i="44"/>
  <c r="F176"/>
  <c r="I35" i="29"/>
  <c r="I44"/>
  <c r="H176" i="44"/>
  <c r="I11" i="29"/>
  <c r="I28" s="1"/>
  <c r="H69"/>
  <c r="I139"/>
  <c r="I190" i="44"/>
  <c r="I204"/>
  <c r="I96"/>
  <c r="I44"/>
  <c r="I62"/>
  <c r="F261"/>
  <c r="K261" s="1"/>
  <c r="I106"/>
  <c r="I165"/>
  <c r="I211"/>
  <c r="I185"/>
  <c r="I175" i="29"/>
  <c r="H27"/>
  <c r="H48"/>
  <c r="I58"/>
  <c r="I137"/>
  <c r="I147"/>
  <c r="H195"/>
  <c r="I182"/>
  <c r="I184"/>
  <c r="I199"/>
  <c r="I83" i="44"/>
  <c r="I99"/>
  <c r="I161"/>
  <c r="I51" i="29"/>
  <c r="H132"/>
  <c r="K49" i="45"/>
  <c r="I10" i="29"/>
  <c r="F174"/>
  <c r="K174" s="1"/>
  <c r="H216"/>
  <c r="I40" i="44"/>
  <c r="I54"/>
  <c r="M63" s="1"/>
  <c r="I105"/>
  <c r="I168"/>
  <c r="I39"/>
  <c r="I103"/>
  <c r="I167"/>
  <c r="H50"/>
  <c r="F91" i="45"/>
  <c r="K89" s="1"/>
  <c r="H112"/>
  <c r="H154"/>
  <c r="H175"/>
  <c r="H133"/>
  <c r="F196"/>
  <c r="F133"/>
  <c r="I155"/>
  <c r="I203" i="44"/>
  <c r="I90"/>
  <c r="I65"/>
  <c r="I64"/>
  <c r="I198" i="29"/>
  <c r="F195"/>
  <c r="K195" s="1"/>
  <c r="I138"/>
  <c r="H153"/>
  <c r="I96"/>
  <c r="F111"/>
  <c r="K111" s="1"/>
  <c r="F132"/>
  <c r="F216"/>
  <c r="K216" s="1"/>
  <c r="F90"/>
  <c r="K90" s="1"/>
  <c r="F69"/>
  <c r="F48"/>
  <c r="K48" s="1"/>
  <c r="F27"/>
  <c r="I16" i="44"/>
  <c r="I21"/>
  <c r="I67"/>
  <c r="I78"/>
  <c r="I91"/>
  <c r="I187"/>
  <c r="H219"/>
  <c r="I212"/>
  <c r="I14"/>
  <c r="I23"/>
  <c r="I63"/>
  <c r="I97"/>
  <c r="I160"/>
  <c r="I166"/>
  <c r="I207"/>
  <c r="I210"/>
  <c r="F28"/>
  <c r="K28" s="1"/>
  <c r="I42"/>
  <c r="F71"/>
  <c r="I66"/>
  <c r="I80"/>
  <c r="I82"/>
  <c r="H198"/>
  <c r="H28"/>
  <c r="I18"/>
  <c r="F92"/>
  <c r="N115"/>
  <c r="I184"/>
  <c r="I189"/>
  <c r="I202"/>
  <c r="I244"/>
  <c r="I38"/>
  <c r="M241"/>
  <c r="I69"/>
  <c r="H92"/>
  <c r="N184"/>
  <c r="F219"/>
  <c r="I12"/>
  <c r="I20"/>
  <c r="F50"/>
  <c r="I45"/>
  <c r="H71"/>
  <c r="I81"/>
  <c r="I159"/>
  <c r="F198"/>
  <c r="I183"/>
  <c r="I208"/>
  <c r="F240"/>
  <c r="K244" s="1"/>
  <c r="M283"/>
  <c r="I11"/>
  <c r="I75"/>
  <c r="I77"/>
  <c r="I101"/>
  <c r="I241"/>
  <c r="I257"/>
  <c r="N262" s="1"/>
  <c r="M38"/>
  <c r="I113" i="45"/>
  <c r="I29"/>
  <c r="F28"/>
  <c r="K28" s="1"/>
  <c r="I197"/>
  <c r="F217"/>
  <c r="K211" s="1"/>
  <c r="F112"/>
  <c r="F154"/>
  <c r="I218"/>
  <c r="I217" i="29"/>
  <c r="K69"/>
  <c r="I54"/>
  <c r="I76"/>
  <c r="I91" s="1"/>
  <c r="F153"/>
  <c r="I177"/>
  <c r="I196" l="1"/>
  <c r="I154"/>
  <c r="I114" i="44"/>
  <c r="I177"/>
  <c r="K271"/>
  <c r="K132" i="29"/>
  <c r="I70"/>
  <c r="M25" s="1"/>
  <c r="K50" i="44"/>
  <c r="M250"/>
  <c r="I262"/>
  <c r="K219"/>
  <c r="M95"/>
  <c r="M178"/>
  <c r="K27" i="29"/>
  <c r="K176" i="44"/>
  <c r="K113"/>
  <c r="K202"/>
  <c r="M73"/>
  <c r="K134"/>
  <c r="I199"/>
  <c r="K92"/>
  <c r="K180"/>
  <c r="K117"/>
  <c r="K223"/>
  <c r="K198"/>
  <c r="M134"/>
  <c r="I72"/>
  <c r="K71"/>
  <c r="K32"/>
  <c r="K153" i="29"/>
  <c r="I112"/>
  <c r="F10" i="2" s="1"/>
  <c r="K75" i="44"/>
  <c r="I220"/>
  <c r="I51"/>
  <c r="K54"/>
  <c r="N201"/>
  <c r="K159"/>
  <c r="M222"/>
  <c r="K96"/>
  <c r="I29"/>
  <c r="M52"/>
  <c r="N63" s="1"/>
  <c r="M91"/>
  <c r="I93"/>
  <c r="M108"/>
  <c r="I176" i="45"/>
  <c r="I134"/>
  <c r="I92"/>
  <c r="I50"/>
  <c r="I71"/>
  <c r="M66"/>
  <c r="Q156"/>
  <c r="N108" i="44" l="1"/>
  <c r="F12" i="2"/>
  <c r="N178" i="44"/>
  <c r="N250"/>
  <c r="N91"/>
  <c r="I220" i="29"/>
  <c r="M211" i="45"/>
  <c r="I221"/>
  <c r="F11" i="2"/>
  <c r="M33" i="44"/>
  <c r="N38" s="1"/>
  <c r="I286"/>
  <c r="F4" i="45"/>
  <c r="B4"/>
  <c r="B3"/>
  <c r="B2"/>
  <c r="F4" i="44"/>
  <c r="B4"/>
  <c r="B3"/>
  <c r="B2"/>
  <c r="F18" i="2" l="1"/>
  <c r="H8"/>
  <c r="A1"/>
  <c r="B3" i="41"/>
  <c r="B2" i="38"/>
  <c r="B2" i="37"/>
  <c r="B2" i="30"/>
  <c r="B2" i="29"/>
  <c r="L12" i="2" l="1"/>
  <c r="AA19"/>
  <c r="N22" l="1"/>
  <c r="Q23" l="1"/>
  <c r="Q22"/>
  <c r="K20" l="1"/>
  <c r="AB19" s="1"/>
  <c r="D5" i="23"/>
  <c r="H6"/>
  <c r="D6"/>
  <c r="D7"/>
  <c r="H8"/>
  <c r="C6" i="41"/>
  <c r="D6" i="30"/>
  <c r="E5" i="41"/>
  <c r="E27" s="1"/>
  <c r="F4" i="38"/>
  <c r="F4" i="37"/>
  <c r="F4" i="29"/>
  <c r="D6" i="2"/>
  <c r="B5" i="41"/>
  <c r="D4"/>
  <c r="B4"/>
  <c r="B4" i="38"/>
  <c r="B3"/>
  <c r="B4" i="37"/>
  <c r="B3"/>
  <c r="B4" i="29"/>
  <c r="B3"/>
  <c r="B5" i="30"/>
  <c r="B3"/>
  <c r="B5" i="2"/>
  <c r="B3"/>
  <c r="Z22" l="1"/>
  <c r="Z23"/>
  <c r="AA23"/>
  <c r="AA22"/>
  <c r="AB22"/>
  <c r="AB23"/>
  <c r="X19"/>
  <c r="S19"/>
  <c r="T22" s="1"/>
  <c r="W22" l="1"/>
  <c r="W23"/>
  <c r="V22"/>
  <c r="V23"/>
  <c r="X22"/>
  <c r="X23"/>
  <c r="S22"/>
  <c r="R23"/>
  <c r="T23"/>
  <c r="R22"/>
  <c r="S23"/>
  <c r="F22" i="30"/>
  <c r="H22" s="1"/>
  <c r="H24" s="1"/>
  <c r="C13" i="19" s="1"/>
  <c r="N21" i="2" l="1"/>
  <c r="L22"/>
  <c r="L23"/>
  <c r="F16" i="26"/>
  <c r="B15"/>
  <c r="D15" s="1"/>
  <c r="E15" s="1"/>
  <c r="B3"/>
  <c r="D3" s="1"/>
  <c r="E3" s="1"/>
  <c r="C16"/>
  <c r="B14"/>
  <c r="D14" s="1"/>
  <c r="E14" s="1"/>
  <c r="B13"/>
  <c r="D13" s="1"/>
  <c r="E13" s="1"/>
  <c r="B12"/>
  <c r="D12" s="1"/>
  <c r="E12" s="1"/>
  <c r="B11"/>
  <c r="D11" s="1"/>
  <c r="E11" s="1"/>
  <c r="B10"/>
  <c r="D10" s="1"/>
  <c r="E10" s="1"/>
  <c r="B9"/>
  <c r="D9" s="1"/>
  <c r="E9" s="1"/>
  <c r="B8"/>
  <c r="D8" s="1"/>
  <c r="E8" s="1"/>
  <c r="B7"/>
  <c r="D7" s="1"/>
  <c r="E7" s="1"/>
  <c r="B6"/>
  <c r="D6" s="1"/>
  <c r="E6" s="1"/>
  <c r="B5"/>
  <c r="D5" s="1"/>
  <c r="E5" s="1"/>
  <c r="B4"/>
  <c r="D4" s="1"/>
  <c r="E4" s="1"/>
  <c r="J30" i="23"/>
  <c r="J31"/>
  <c r="K31" s="1"/>
  <c r="E16" i="26" l="1"/>
  <c r="B16"/>
  <c r="D16" s="1"/>
  <c r="O21" i="2"/>
  <c r="O22" s="1"/>
  <c r="K33" i="23"/>
  <c r="K34"/>
  <c r="K28"/>
  <c r="K30" l="1"/>
  <c r="K29"/>
  <c r="K26"/>
  <c r="K25"/>
  <c r="K22"/>
  <c r="K21"/>
  <c r="K20"/>
  <c r="K19"/>
  <c r="B25" i="19"/>
  <c r="K32" i="23" l="1"/>
  <c r="K23"/>
  <c r="O23" i="2" l="1"/>
  <c r="G18" s="1"/>
  <c r="H18" l="1"/>
  <c r="H25" s="1"/>
  <c r="C12" i="19" l="1"/>
  <c r="C23" l="1"/>
  <c r="E24" s="1"/>
</calcChain>
</file>

<file path=xl/comments1.xml><?xml version="1.0" encoding="utf-8"?>
<comments xmlns="http://schemas.openxmlformats.org/spreadsheetml/2006/main">
  <authors>
    <author>Corporate Edition</author>
  </authors>
  <commentList>
    <comment ref="C7" authorId="0">
      <text>
        <r>
          <rPr>
            <b/>
            <sz val="9"/>
            <color indexed="81"/>
            <rFont val="Tahoma"/>
            <family val="2"/>
          </rPr>
          <t>พิมพ์ตัวเลขจำนวนหน้าเลย</t>
        </r>
      </text>
    </comment>
  </commentList>
</comments>
</file>

<file path=xl/sharedStrings.xml><?xml version="1.0" encoding="utf-8"?>
<sst xmlns="http://schemas.openxmlformats.org/spreadsheetml/2006/main" count="2526" uniqueCount="753">
  <si>
    <t>ลำดับที่</t>
  </si>
  <si>
    <t>รายการ</t>
  </si>
  <si>
    <t>จำนวน</t>
  </si>
  <si>
    <t>หน่วย</t>
  </si>
  <si>
    <t>ราคาหน่วยละ</t>
  </si>
  <si>
    <t>จำนวนเงิน</t>
  </si>
  <si>
    <t>ที่</t>
  </si>
  <si>
    <t>FACTOR F</t>
  </si>
  <si>
    <t>หมายเหตุ</t>
  </si>
  <si>
    <t xml:space="preserve"> </t>
  </si>
  <si>
    <t xml:space="preserve">   </t>
  </si>
  <si>
    <t>ค่างานต้นทุน</t>
  </si>
  <si>
    <t>เงื่อนไขการใช้ตาราง Factor   F</t>
  </si>
  <si>
    <t>FACTOR  F</t>
  </si>
  <si>
    <t>แบบเลขที่</t>
  </si>
  <si>
    <t xml:space="preserve">เงินประกันผลงานหัก                                </t>
  </si>
  <si>
    <t xml:space="preserve">ดอกเบี้ยเงินกู้                    </t>
  </si>
  <si>
    <t xml:space="preserve">VAT                                                           </t>
  </si>
  <si>
    <t>รวม</t>
  </si>
  <si>
    <t>งาน</t>
  </si>
  <si>
    <t>สรุปราคา</t>
  </si>
  <si>
    <t>ค่างาน</t>
  </si>
  <si>
    <t>ค่าก่อสร้าง</t>
  </si>
  <si>
    <t>รวมราคาก่อสร้าง</t>
  </si>
  <si>
    <t>กก.</t>
  </si>
  <si>
    <t xml:space="preserve"> - ลวดผูกเหล็ก</t>
  </si>
  <si>
    <t xml:space="preserve"> - คอนกรีตหยาบ</t>
  </si>
  <si>
    <t>งานครุภัณฑ์</t>
  </si>
  <si>
    <t>ค่าใช้จ่ายพิเศษ</t>
  </si>
  <si>
    <t>รวมค่าก่อสร้างทั้งโครงการ</t>
  </si>
  <si>
    <t>ราคารวม วัสดุ + แรงงาน</t>
  </si>
  <si>
    <t xml:space="preserve">เงินล่วงหน้าจ่าย  </t>
  </si>
  <si>
    <t>(ค่าใช้จ่ายพิเศษตามข้อกำหนดและค่าใช้จ่ายอื่นที่จำเป็นต้องมี)</t>
  </si>
  <si>
    <t xml:space="preserve">                                                                     หน้าที่    11</t>
  </si>
  <si>
    <t>รายการค่าใช้จ่าย</t>
  </si>
  <si>
    <t>ราคาต่อหน่วย</t>
  </si>
  <si>
    <t>ราคารวม</t>
  </si>
  <si>
    <t>งานเจาะสำรวจดิน</t>
  </si>
  <si>
    <t>หลุม</t>
  </si>
  <si>
    <t>เดือน</t>
  </si>
  <si>
    <t>เที่ยว</t>
  </si>
  <si>
    <t>ไมล์</t>
  </si>
  <si>
    <t>รวมค่าใช้จ่าย</t>
  </si>
  <si>
    <t>ค่าภาษีมูลค่าเพิ่ม</t>
  </si>
  <si>
    <t>1. เหตุผลและความจำเป็นที่ต้องมีค่าใช้จ่ายพิเศษตามข้อกำหนดฯ รายการนี้</t>
  </si>
  <si>
    <t>2. รายละเอียดการคำนวณ</t>
  </si>
  <si>
    <t>Advance</t>
  </si>
  <si>
    <t>BUDJET</t>
  </si>
  <si>
    <t xml:space="preserve"> แบบแสดงการคำนวณและเหตุผลความจำเป็น</t>
  </si>
  <si>
    <t>สำหรับค่าใช้จ่ายพิเศษตามข้อกำหนดฯ</t>
  </si>
  <si>
    <t xml:space="preserve">     เป็นงานก่อสร้างที่อยู่บนเกาะ ห่างจากฝั่งประมาณ 20 ไมล์ทะเล  ต้องลำเลียงวัสดุจากฝั่งไปยังพื้นที่ก่อสร้างและขนจากเรือขึ้นฝั่งบนเกาะ</t>
  </si>
  <si>
    <t xml:space="preserve">รวมทั้งเรือลำเลียงวัสดุ(เรือบาธ)ควรมีขนาดใหญ่ เพื่อความคุ้มค่าในการส่งวัสดุแต่ละครั้ง นอกจากนี้ พื้นที่ก่อสร้างอยู่บริเวณปลายเกาะ </t>
  </si>
  <si>
    <t xml:space="preserve"> การลำเลียงวัสดุจากฝั่งต้องใช้ท่าเทียบเรือของเอกชนหรือของกรมเจ้าท่าซึ่งต้องเสียค่าธรรมเนียม งานขนส่งเสาเข็มยาวต้องใช้โป๊ะขนาดใหญ่ </t>
  </si>
  <si>
    <t xml:space="preserve">ไม่มีทางรถยนต์เข้าถึง เข้าดืทางเรือเท่านั้น และเป็นพื้นที่ทุรกันดารน้ำจืดไม่เพียงพอต่อการอุปโภค-บริโภค ไม่มีไฟฟ้าใช้ </t>
  </si>
  <si>
    <t>ต้องจัดหาเครื่องกำเนิดไฟฟ้าและ จัดส่งน้ำจืดจากฝั่งเพื่อไปใช้ในงานก่อสร้าง สำหรับการก่อสร้างสะพานท่าเทียบเรือต้องก่อสร้างในทะเลน้ำลึก</t>
  </si>
  <si>
    <t>สรปค่าใช้จ่ายพิเศษ</t>
  </si>
  <si>
    <t>ค่าเจาะสำรวจดินในทะเล</t>
  </si>
  <si>
    <t>ค่าขนส่งเครื่องมือ ไป-กลับ</t>
  </si>
  <si>
    <t>ค่าเดินทาง ค่าขนส่งตัวอย่างทดสอบ ค่ารายงานผล</t>
  </si>
  <si>
    <t>ค่าโป๊ะหรือแพสำหรับตั้งเครื่องเจาะและเรือลาก</t>
  </si>
  <si>
    <t>ค่าใช้จ่ายในการขนวัสดุระหว่างฝั่ง-เกาะ(เดือนละ2เที่ยว)</t>
  </si>
  <si>
    <t>ค่าเครนยกวัสดุลงเรือบาธ+ค่าธรรมเนียมการใช้ท่าเรือ</t>
  </si>
  <si>
    <t>รวมค่าใช้จ่ายพิเศษในงานเจาะสำรวจดิน</t>
  </si>
  <si>
    <t>ค่าขนวัสดุจากเรือลำเลียงขึ้นฝั่งบนเกาะ</t>
  </si>
  <si>
    <t>รวมค่าใช้จ่ายพิเศษ การลำเลียงวัสดุ</t>
  </si>
  <si>
    <t>ตรม.</t>
  </si>
  <si>
    <t>ค่านั่งร้านทำงานในน้ำ</t>
  </si>
  <si>
    <t>ค่าลากเรือลำเลียงและโป๊ะ กรุงเทพ-เกาะกูด(ไป-กลับ)</t>
  </si>
  <si>
    <t>ค่าเช่าเรือลำเลียงและค่าเรือลากจูง</t>
  </si>
  <si>
    <t>ตลอดระยะเวลาก่อสร้าง( คิดเฉลี่ยประมาณ 6 เดือน )</t>
  </si>
  <si>
    <t>ค่าลำเลียงวัสดุและค่าประกอบติดตั้งงานโครงสร้างในน้ำ</t>
  </si>
  <si>
    <t>ค่าเครน 15,000 ค่าธรรมเนียม 10,000</t>
  </si>
  <si>
    <t>จำเป็นต้องมีงานนั่งร้านพิเศษเพิ่มเติมจากงานไม้แบบทั่วไป และการทำงานในน้ำจะได้ปริมาณงานน้อยกว่าทำบนฝั่งจึงมีค่าแรงที่เพิ่มสูงขึ้น</t>
  </si>
  <si>
    <t>รวม (บาท )</t>
  </si>
  <si>
    <t>ค่าแรงงาน  (บาท )</t>
  </si>
  <si>
    <t>ค่าวัสดุ  (บาท )</t>
  </si>
  <si>
    <t>ค่าเช่าเครื่องกำเนิดไฟฟ้า + ค่าเชื้อเพลิง</t>
  </si>
  <si>
    <t>ค่าเช่า 15,000/ เดือน ค่าน้ำมัน 1,200 / วัน</t>
  </si>
  <si>
    <t>ค่าแรงเพิ่มอีก 35 % ของค่าแรงปกติ เฉพาะงานโครงสร้างท่าเรือ (ค่าแรง =  600,000)</t>
  </si>
  <si>
    <t>ค่าลำเลียงวัสดุ และขนข้ายเครื่องมือเครื่องจักรทุ่นแรง</t>
  </si>
  <si>
    <t>ประมาณ 5 % ของค่าวัสดุ ทั้งโครงการ ( ค่าวัสดุทั้งหมด 10.4 ล้าน )</t>
  </si>
  <si>
    <t>คิดเป็น</t>
  </si>
  <si>
    <t>ปรับเป็น</t>
  </si>
  <si>
    <t>มูลค่างานในงวด</t>
  </si>
  <si>
    <t>รวมมูลค่างวด</t>
  </si>
  <si>
    <t>วัสดุและแรงงาน</t>
  </si>
  <si>
    <t xml:space="preserve"> รวมเงินหน้านี้</t>
  </si>
  <si>
    <t xml:space="preserve">สถานที่  </t>
  </si>
  <si>
    <t xml:space="preserve">หน่วยงานเจ้าของโครงการ/งานก่อสร้าง  </t>
  </si>
  <si>
    <t xml:space="preserve">แบบเลขที่  </t>
  </si>
  <si>
    <r>
      <rPr>
        <b/>
        <sz val="14"/>
        <rFont val="TH SarabunPSK"/>
        <family val="2"/>
      </rPr>
      <t>หน่วยงานเจ้าของโครงการ</t>
    </r>
    <r>
      <rPr>
        <sz val="14"/>
        <rFont val="TH SarabunPSK"/>
        <family val="2"/>
      </rPr>
      <t xml:space="preserve"> </t>
    </r>
  </si>
  <si>
    <t>งานอาคาร</t>
  </si>
  <si>
    <t xml:space="preserve">กลุ่มงาน  </t>
  </si>
  <si>
    <t>ชื่อโครงการ</t>
  </si>
  <si>
    <t>แบบแสดงรายการปริมาณงานและราคา</t>
  </si>
  <si>
    <t xml:space="preserve"> ลำดับที่</t>
  </si>
  <si>
    <t>กลุ่มงาน</t>
  </si>
  <si>
    <t>สถานที่ก่อสร้าง</t>
  </si>
  <si>
    <t>( บาท )</t>
  </si>
  <si>
    <t xml:space="preserve">แบบ ปร. 4 ที่แนบ   จำนวน  </t>
  </si>
  <si>
    <t>งานโครงสร้าง</t>
  </si>
  <si>
    <t>ชื่อโครงการ/</t>
  </si>
  <si>
    <t>แบบ    ปร.4   และ   ปร.5 ที่แนบ</t>
  </si>
  <si>
    <t>ราคารวม ค่าครุภัณฑ์</t>
  </si>
  <si>
    <t>รวมราคา ค่าครุภัณฑ์ จัดซื้อ</t>
  </si>
  <si>
    <t>ภาษี</t>
  </si>
  <si>
    <t>มูลค่าเพิ่ม</t>
  </si>
  <si>
    <t>แบบสรุปค่าครุภัณฑ์ จัดซื้อ</t>
  </si>
  <si>
    <t xml:space="preserve">รายการ </t>
  </si>
  <si>
    <t>ค่าใช้จ่ายรวม (บาท )</t>
  </si>
  <si>
    <t>( ค่าก่อสร้าง )</t>
  </si>
  <si>
    <t xml:space="preserve"> รวมเงิน ค่าใช้จ่ายพิเศษตามข้อกำหนดทุกรายการ</t>
  </si>
  <si>
    <r>
      <t xml:space="preserve">รายการ     </t>
    </r>
    <r>
      <rPr>
        <b/>
        <sz val="14"/>
        <color rgb="FF0000FF"/>
        <rFont val="TH Sarabun New"/>
        <family val="2"/>
      </rPr>
      <t>(ระบุรายการค่าใช้จ่ายพิเศษตามข้อกำหนด)</t>
    </r>
  </si>
  <si>
    <t xml:space="preserve">หน่วยงานเจ้าของโครงการ </t>
  </si>
  <si>
    <t>คำนวณราคากลางโดย</t>
  </si>
  <si>
    <t>พี่ชาติ</t>
  </si>
  <si>
    <t>ประกันผลงาน</t>
  </si>
  <si>
    <t>&gt;200</t>
  </si>
  <si>
    <t>วงเงิน</t>
  </si>
  <si>
    <t>RETENSION</t>
  </si>
  <si>
    <t>คำนวณราคาโดย</t>
  </si>
  <si>
    <t xml:space="preserve">     พี่ชาติ</t>
  </si>
  <si>
    <t>ส่วนต่างวงเงิน</t>
  </si>
  <si>
    <t>ค่าเปลี่ยนแปลง</t>
  </si>
  <si>
    <t>-</t>
  </si>
  <si>
    <t>ลบ.ม.</t>
  </si>
  <si>
    <t>ตร.ม.</t>
  </si>
  <si>
    <t>ท่อน</t>
  </si>
  <si>
    <t>ชุด</t>
  </si>
  <si>
    <t>วัสดุ + แรงงาน</t>
  </si>
  <si>
    <t>ม.</t>
  </si>
  <si>
    <t xml:space="preserve"> - ผนังฉาบปูนเรียบ</t>
  </si>
  <si>
    <t>งานฝ้าเพดาน</t>
  </si>
  <si>
    <t>งานประตู-หน้าต่าง</t>
  </si>
  <si>
    <t>งานสุขภัณฑ์</t>
  </si>
  <si>
    <t xml:space="preserve"> - ก๊อกน้ำ</t>
  </si>
  <si>
    <t>1..2127</t>
  </si>
  <si>
    <t>&gt;700</t>
  </si>
  <si>
    <t>ฝนชุก1</t>
  </si>
  <si>
    <t>ฝนชุก2</t>
  </si>
  <si>
    <t>ปกติ</t>
  </si>
  <si>
    <t>&gt;500</t>
  </si>
  <si>
    <t>FACTOR  F ---&gt;</t>
  </si>
  <si>
    <t>กรณี งานอาคาร</t>
  </si>
  <si>
    <t>กรณีงานทาง</t>
  </si>
  <si>
    <t>กรณีงานสะพาน</t>
  </si>
  <si>
    <t>หมายเหตุ :</t>
  </si>
  <si>
    <t>ฝนชุก 1    ได้แก่ จังหวัด  :</t>
  </si>
  <si>
    <t>กรุงเทพ,กระบี่,จันทบุรี,ชุมพร,เชียงราย,ตรัง,นครนายก,ปราจีนบุรี,พัทลุง,ภูเก็ต,ยะลา,สกลนคร,สตูล,หนองคาย</t>
  </si>
  <si>
    <t>ฝนชุก 2    ได้แก่ จังหวัด  :</t>
  </si>
  <si>
    <t>ตราด,นครพนม,นครศรธรรมราช,นราธิวาส,บึงกาฬ,พังงา,ระนอง,สงขลา</t>
  </si>
  <si>
    <t>แบบสรุปราคากลาง งานก่อสร้าง</t>
  </si>
  <si>
    <r>
      <rPr>
        <b/>
        <sz val="14"/>
        <rFont val="TH Sarabun New"/>
        <family val="2"/>
      </rPr>
      <t>หน่วยงานเจ้าของโครงการ</t>
    </r>
    <r>
      <rPr>
        <sz val="14"/>
        <rFont val="TH Sarabun New"/>
        <family val="2"/>
      </rPr>
      <t xml:space="preserve"> </t>
    </r>
  </si>
  <si>
    <t>กบร.กร.</t>
  </si>
  <si>
    <t>อ.บ้านฉาง จว.ระยอง</t>
  </si>
  <si>
    <t>เตียง</t>
  </si>
  <si>
    <t>ตู้</t>
  </si>
  <si>
    <t>ตัว</t>
  </si>
  <si>
    <t>รวมครุภัณฑ์ประจำอาคารพักประทวน 64 ครอบครัว</t>
  </si>
  <si>
    <t>งานก่อสร้างอาคารพักนายทหารประทวน 64 ครอบครัว</t>
  </si>
  <si>
    <t>งานอาคารพักนายทหารประทวน</t>
  </si>
  <si>
    <t xml:space="preserve">งานระบบไฟฟ้าภายในอาคาร </t>
  </si>
  <si>
    <t xml:space="preserve">งานระบบประปาและสุขาภิบาลภายในอาคาร </t>
  </si>
  <si>
    <t>งานฐานรากและเสาตอม่อ</t>
  </si>
  <si>
    <t xml:space="preserve"> - งานขุดดิน</t>
  </si>
  <si>
    <t xml:space="preserve"> - คอนกรีตฐานราก</t>
  </si>
  <si>
    <t xml:space="preserve"> - ไม้แบบ</t>
  </si>
  <si>
    <t xml:space="preserve"> - เหล็กเสริมผิวเรียบ</t>
  </si>
  <si>
    <t>ตัน</t>
  </si>
  <si>
    <t xml:space="preserve"> - เหล็กเสริมผิวข้ออ้อย</t>
  </si>
  <si>
    <t xml:space="preserve"> - ตะปู</t>
  </si>
  <si>
    <t>ต้น</t>
  </si>
  <si>
    <t>วัสดุ+</t>
  </si>
  <si>
    <t>แรงงาน</t>
  </si>
  <si>
    <t xml:space="preserve"> - SEISMIC  TEST</t>
  </si>
  <si>
    <t xml:space="preserve"> - DYNAMIC  LOAD  TEST</t>
  </si>
  <si>
    <t xml:space="preserve"> - ค่าสกัดหัวเสาเข็มเจาะ ขนาดเส้นผ่าศูนย์กลาง 0.50  </t>
  </si>
  <si>
    <t>- คอนกรีต</t>
  </si>
  <si>
    <t>-  Non Shrink Grout</t>
  </si>
  <si>
    <t>- ไม้แบบ</t>
  </si>
  <si>
    <t>- เหล็กเสริมผิวเรียบ</t>
  </si>
  <si>
    <t>- เหล็กเสริมผิวข้ออ้อย</t>
  </si>
  <si>
    <t>- ตะปู</t>
  </si>
  <si>
    <t>- ลวดผูกเหล็ก</t>
  </si>
  <si>
    <t>- พื้นสำเร็จรูป HOLLOW  CORE  SLAB หนา 15 ซม. รับน้ำหนัก</t>
  </si>
  <si>
    <t xml:space="preserve">  บรรทุกปลอดภัยได้ไม่น้อยกว่า 400 กก./ ตร.ม.</t>
  </si>
  <si>
    <t>- พื้นสำเร็จรูป SOLID  PLANK หนา 5 ซม. รับน้ำหนัก</t>
  </si>
  <si>
    <t xml:space="preserve">  บรรทุกปลอดภัยได้ไม่น้อยกว่า 200 - 400 กก./ ตร.ม.</t>
  </si>
  <si>
    <t>งานโครงสร้าง (ต่อ)</t>
  </si>
  <si>
    <t xml:space="preserve"> - เหล็ก WIRE  MESH ø  4  มม.   @   0.20 ม. #</t>
  </si>
  <si>
    <t xml:space="preserve"> - คอนกรีตทับหน้า หนา 0.05 ม.</t>
  </si>
  <si>
    <t xml:space="preserve"> - รอยต่อคอนกรีตคั้นด้วยโฟม หนา 2 ซม. ลึกประมาณ 15 ซม.</t>
  </si>
  <si>
    <t xml:space="preserve">   ยาแนวด้วยแอสฟัลท์ผสมทราย</t>
  </si>
  <si>
    <t>- งานบดอัดแน่นชั้นดินเดิม</t>
  </si>
  <si>
    <t>- งานถมดินลูกรัง</t>
  </si>
  <si>
    <t xml:space="preserve"> - งานบดอัดแน่นดินลูกรัง </t>
  </si>
  <si>
    <t>- ทรายหยาบรองพื้น</t>
  </si>
  <si>
    <t xml:space="preserve"> - แผ่นพลาสติก</t>
  </si>
  <si>
    <t>วัสดุ +</t>
  </si>
  <si>
    <t xml:space="preserve"> - DB 12 มม. ยาว 0.50 ม.</t>
  </si>
  <si>
    <t xml:space="preserve"> - คั้นโฟม หนา 15 มม.</t>
  </si>
  <si>
    <t xml:space="preserve"> - ยาแนวด้วยวัสดุอุดรอยต่อชนิด PU</t>
  </si>
  <si>
    <t xml:space="preserve"> - ค่าเจาะทดสอบความหนาแน่นของดินเดิมและชั้นต่างๆ </t>
  </si>
  <si>
    <t xml:space="preserve">  ของวัสดุที่ใช้ในกรก่อสร้างลาน</t>
  </si>
  <si>
    <t>จุด</t>
  </si>
  <si>
    <t xml:space="preserve"> - งานกำจัดปลวก</t>
  </si>
  <si>
    <t>โครงหลังคาเหล็กรูปพรรณ</t>
  </si>
  <si>
    <t xml:space="preserve"> - เหล็กตัวซี ขนาด 150 x 50 x 20 x 3.2 mm </t>
  </si>
  <si>
    <t xml:space="preserve"> - เหล็กกล่องสีเหลี่ยม ขนาด 50 x 50 x  3.2 mm </t>
  </si>
  <si>
    <t xml:space="preserve"> - เหล็กฉาก ขนาด 50 x 50 x  5 mm </t>
  </si>
  <si>
    <t xml:space="preserve"> - PL 170 x 170 x 9 mm.  + 3  DB 16  mm. Anchor Steel</t>
  </si>
  <si>
    <t xml:space="preserve"> - ค่าแรงประกอบโครงหลังคา</t>
  </si>
  <si>
    <t xml:space="preserve"> - งานทาสีกันสนิมพร้อมทาสีทับหน้า</t>
  </si>
  <si>
    <t>งานมุงหลังคา</t>
  </si>
  <si>
    <t xml:space="preserve"> - ครอบหลังคาแผ่นเหล็กขึ้นรูป</t>
  </si>
  <si>
    <t xml:space="preserve"> - ฝ้ายิบซั่มบอร์ดหนา 9 มม. ชนิดทนชื้น  ฉาบเรียบ</t>
  </si>
  <si>
    <t xml:space="preserve">   โครงคร่าวเหล็กชุบสังกะสี</t>
  </si>
  <si>
    <t xml:space="preserve"> - ฝ้ายิบซั่มบอร์ดชนิดมีอลูมิเนียมฟอล์ย หนา 9 มม.  ชนิดขอบลาด</t>
  </si>
  <si>
    <t xml:space="preserve">  ฉาบรอยต่อเรียบ  โครงคร่าวเหล็กชุบสังกะสี</t>
  </si>
  <si>
    <t xml:space="preserve"> - ฝ้าท้องพื้นสำเร็จรูป ฉาบปูนเรียบ</t>
  </si>
  <si>
    <t>งานผนังและฝา</t>
  </si>
  <si>
    <t xml:space="preserve"> - ผนังฉาบปูนเรียบตีเส้นเซาะร่องตามแนวเสาและคาน</t>
  </si>
  <si>
    <t xml:space="preserve"> - ผนังฉาบปูนเรียบเซาะร่องกว้าง 1 ซม.ลึก 1 ซม.ทุกระยะ 20 ซม.</t>
  </si>
  <si>
    <t xml:space="preserve"> - ผนังกรุกระเบื้องเซรามิคผิวเคลือบเงา (8"x10",10"x12")</t>
  </si>
  <si>
    <t xml:space="preserve">   มุมผนังและขอบกระเบื้องใช้คิ้ว PVC.</t>
  </si>
  <si>
    <t xml:space="preserve"> - ผนังก่อบล๊อคชนิดระบายอากาศกันฝน ขนาด 20x41.5x8 ซม.</t>
  </si>
  <si>
    <t xml:space="preserve">  ฉาบแต่งแนวเซาะร่องรอยต่อ พร้อมติดตาข่าย/มุ้งลวดกันแมลง</t>
  </si>
  <si>
    <t xml:space="preserve"> - เสาเอ็นและทับหลัง ค.ส.ล.</t>
  </si>
  <si>
    <t xml:space="preserve"> - ราวลูกกรงระเบียงกันตก ผนังก่ออิฐฉาบปูนเซาะร่อง กว้าง 1 ซม.</t>
  </si>
  <si>
    <t xml:space="preserve">   ลึก 1 ซม. ทุกระยะ 20 ซม.</t>
  </si>
  <si>
    <t xml:space="preserve">               วัสดุ+แรงงาน</t>
  </si>
  <si>
    <t>งานผิวพื้น</t>
  </si>
  <si>
    <t xml:space="preserve"> - พื้นปูกระเบื้องเซรามิคผิวกันลื่น ขนาด(12"x12",18"x18")</t>
  </si>
  <si>
    <t xml:space="preserve"> - พื้นทำผิวขัดมันตีเส้นร่องตามแบบ</t>
  </si>
  <si>
    <t xml:space="preserve"> - บัวเชิงผนังฉาบปูนขัดมัน หนา 1 ซม.สูง 10 ซม.</t>
  </si>
  <si>
    <t xml:space="preserve"> - พื้นผิวขัดมันตีเส้นร่องตามแบบ (พื้นชั้นล่างและทางเดิน)</t>
  </si>
  <si>
    <t xml:space="preserve"> - รางระบายน้ำกว้าง 5 ซม. ลึก 2 ซม. ทำรอง SLOPE บริเวณ</t>
  </si>
  <si>
    <t xml:space="preserve">   พื้นระเบียงหลังห้อง</t>
  </si>
  <si>
    <t xml:space="preserve"> - D1 ประตูด้านหน้า</t>
  </si>
  <si>
    <t xml:space="preserve"> - D2</t>
  </si>
  <si>
    <t xml:space="preserve"> - D3</t>
  </si>
  <si>
    <t xml:space="preserve"> - D4</t>
  </si>
  <si>
    <t xml:space="preserve"> - D5</t>
  </si>
  <si>
    <t xml:space="preserve"> - D6</t>
  </si>
  <si>
    <t xml:space="preserve"> - W1</t>
  </si>
  <si>
    <t xml:space="preserve"> - W2</t>
  </si>
  <si>
    <t xml:space="preserve"> - W3</t>
  </si>
  <si>
    <t xml:space="preserve"> - W4</t>
  </si>
  <si>
    <t xml:space="preserve"> - โถส้วมนั่งราบพร้อมหม้อน้ำ</t>
  </si>
  <si>
    <t xml:space="preserve"> - ฝักบัวอาบน้ำก้านอ่อน</t>
  </si>
  <si>
    <t xml:space="preserve"> - สายอ่อนชำระพร้อมสต๊อปวาล์ว</t>
  </si>
  <si>
    <t xml:space="preserve"> - ที่ใส่กระดาษชำระเซรามิค</t>
  </si>
  <si>
    <t xml:space="preserve"> - ที่ใส่สบู่เซรามิค</t>
  </si>
  <si>
    <t>งานบันได</t>
  </si>
  <si>
    <t xml:space="preserve">   ทาสีกันสนิมทับหน้าด้วยสีน้ำมัน TOP ไม้เนื้อแข็ง 2" x 4" ทาสี</t>
  </si>
  <si>
    <t>งานทาสี</t>
  </si>
  <si>
    <t xml:space="preserve"> - งานทาสีอะคริลิค</t>
  </si>
  <si>
    <t xml:space="preserve"> - งานทาสีน้ำมัน</t>
  </si>
  <si>
    <t>งานเบ็ดเตล็ด</t>
  </si>
  <si>
    <t xml:space="preserve"> - ช่องเปิดขึ้นหลังคา ขนาด 1.00x1.00 ม.เป็นแผ่นสเตนเลส</t>
  </si>
  <si>
    <t xml:space="preserve">   หนา 1.2 มม. พร้อมอุปกรณ์</t>
  </si>
  <si>
    <t xml:space="preserve"> - บันไดท่อเหล็กขึ้นดาดฟ้า</t>
  </si>
  <si>
    <t xml:space="preserve">- โคมไฟกล่องเหล็กติดลอยแบบเปลือย (แบบอกไก่) หลอด LED TUBE </t>
  </si>
  <si>
    <t xml:space="preserve">- โคมไฟกล่องเหล็กติดลอยแบบเปลือย หลอด LED TUBE </t>
  </si>
  <si>
    <t xml:space="preserve">- โคมไฟกล่องเหล็กติดลอยแบบเปลือย หลอด LED TUBE  </t>
  </si>
  <si>
    <t>- ตู้ MIAN DISTRIBUTION BOARD และ CU. BUS BAR</t>
  </si>
  <si>
    <t>- VOLT METER 0 - 600 V.</t>
  </si>
  <si>
    <t>- VS ( VOLT ) SELECTOR SWITCH</t>
  </si>
  <si>
    <t>- AS ( AMP ) SELECTOR SWITCH</t>
  </si>
  <si>
    <t>- FUSE 6 A.</t>
  </si>
  <si>
    <t>- PILOT LAMP</t>
  </si>
  <si>
    <t>ฐาน</t>
  </si>
  <si>
    <t>ตู้เหล็ก SUB DISTRIBUTION BOARD SDB.A,B,C,D</t>
  </si>
  <si>
    <t>- ตู้เหล็ก SDB</t>
  </si>
  <si>
    <t>- AMP METER 0 - 200 A.</t>
  </si>
  <si>
    <t xml:space="preserve">- ตู้ LOAD CENTER ชนิดมี 18 ช่อง พร้อม MAIN </t>
  </si>
  <si>
    <t xml:space="preserve">- CIRCUIT BREAKER  50  AT.  10  kA. 1P. </t>
  </si>
  <si>
    <t>ตู้ LIGHTING &amp; POWER PANEL (LP)</t>
  </si>
  <si>
    <t>- ตู้เหล็ก LP</t>
  </si>
  <si>
    <t>- KILOWATT - HOUR METER 30(100) A.380/220 V.AC. 3Ph. 4WIRE 50Hz.</t>
  </si>
  <si>
    <t>- CIRCUIT BREAKER 30 AT. 6 kA.   1P.</t>
  </si>
  <si>
    <t>- CIRCUIT BREAKER 20 AT. 6 kA.   1P.</t>
  </si>
  <si>
    <t>CONSUMER UNIT (สำหรับจ่ายไฟฟ้าส่วนกลาง)</t>
  </si>
  <si>
    <t xml:space="preserve">- ตู้ CONSUMER UNIT ชนิดมี 4 ช่อง พร้อม MAIN </t>
  </si>
  <si>
    <t>ตู้ WPCC1</t>
  </si>
  <si>
    <t>ตู้ WPCC2</t>
  </si>
  <si>
    <t xml:space="preserve">  50 A. 380/220 V.AC. 3 Ø - 4 W. 50 HZ. </t>
  </si>
  <si>
    <t>สายไฟฟ้าและท่อร้อยสายไฟฟ้า</t>
  </si>
  <si>
    <t>เมตร</t>
  </si>
  <si>
    <t>- อุปกรณ์ประกอบและอื่นๆ</t>
  </si>
  <si>
    <t>- FIRE ALARM CONTROL PANEL 10 ZONE</t>
  </si>
  <si>
    <t>- ANNCUNCIATOR</t>
  </si>
  <si>
    <t xml:space="preserve">- SMOKE DETECTOR </t>
  </si>
  <si>
    <t>- MANUAL STATION</t>
  </si>
  <si>
    <t>- FIRE ALARM BELL</t>
  </si>
  <si>
    <t>เดินท่อฯ จาก มิเตอร์น้ำประปา ภายนอก เข้าถังเก็บน้ำฯ ชั้นล่าง</t>
  </si>
  <si>
    <t>อัน</t>
  </si>
  <si>
    <t>บ่อ</t>
  </si>
  <si>
    <t xml:space="preserve">วัสดุ+ </t>
  </si>
  <si>
    <t xml:space="preserve"> - เกจ์วัดแรงดัน</t>
  </si>
  <si>
    <t>ถัง</t>
  </si>
  <si>
    <t xml:space="preserve"> - แผงกั้นรอบถังเก็บน้ำฯ โครงคร่าวเหล็กสี่เหลี่ยมกลวง  </t>
  </si>
  <si>
    <t xml:space="preserve">   100 x 150 x 3.2 มม.กรุด้วยแผ่นเหล็ก</t>
  </si>
  <si>
    <t xml:space="preserve"> - ทรายหยาบอัดแน่น</t>
  </si>
  <si>
    <t xml:space="preserve">หน่วยงานเจ้าของโครงการ/งานก่อสร้าง    </t>
  </si>
  <si>
    <t xml:space="preserve">หมายเหตุ  :  ใช้ FACTOR F ที่ปรับปรุงและทบทวน ของ กรมบัญชีกลาง ล่าสุด  ตามหนังสือเวียน  </t>
  </si>
  <si>
    <t xml:space="preserve">ที่ กค.0405.3/ ว.364 เมื่อวันที่  15 ก.ย. 2559 </t>
  </si>
  <si>
    <t>อาคารพักนายทหารประทวน 64 ครอบครัว</t>
  </si>
  <si>
    <t>5 แผ่น</t>
  </si>
  <si>
    <t xml:space="preserve"> - หลังคาแผ่นเหล็กขึ้นรูปลอนโดยใช้เหล็กเคลือบสังกะสี 220 ZP g/sq.m.</t>
  </si>
  <si>
    <t xml:space="preserve">   ความหนาแผ่นเหล็กไม่น้อยกว่า 0.40 มม. การยึดติดใช้ระบบ </t>
  </si>
  <si>
    <t xml:space="preserve">   เจาะแผ่นพร้อมอุปกรณ์ชุดครอบต่างๆ ตามมาตรฐานผู้ผลิต ใต้ท้องลอน </t>
  </si>
  <si>
    <t xml:space="preserve">   ให้แผ่นฉนวน PE FOAM  หนา 10 มม.และปิดทับด้วยอลูมิเนียมฟอยล์</t>
  </si>
  <si>
    <t xml:space="preserve">- ฝ้าระแนง UPVC ใบกว้าง 4 ซม. หนา 1.15 ซม. ติดตั้งระบบ </t>
  </si>
  <si>
    <t xml:space="preserve">  CLIP  LOCK  เว้นร่อง 1 ซม.   </t>
  </si>
  <si>
    <t xml:space="preserve"> - ผนังห้องน้ำก่ออิฐมวลเบา  </t>
  </si>
  <si>
    <t xml:space="preserve"> - ผนังก่ออิฐมวลเบา   </t>
  </si>
  <si>
    <t xml:space="preserve"> - ผนังรอบแท็งค์น้ำไม้สังเคราะห์ WPC ชนิดมีเส้นอลูมิเนียม  </t>
  </si>
  <si>
    <t xml:space="preserve">  เสริมความแข็งแรงด้านในแทน โดยใช้ขนาดหน้าตัด 30 x 145 มม.</t>
  </si>
  <si>
    <t xml:space="preserve">  ยึดด้วยเหล็กฉากรวมทาสีและติดตั้ง</t>
  </si>
  <si>
    <t xml:space="preserve">- พื้นปูกระเบื้องยางลายไม้ หนาไม่น้อยกว่า 2 มม./ Wearlayer 0.3 มม. </t>
  </si>
  <si>
    <t xml:space="preserve"> - บัวเชิงผนังยาง สูง 10 ซม.</t>
  </si>
  <si>
    <t>- พื้นปูกระเบื้องเซรามิค ผิวเคลือบเงา ขนาด 60 x 60 ซม.</t>
  </si>
  <si>
    <t xml:space="preserve"> - พื้นผิวติดตั้งระบบกันซึม เป็นระบบกันซึมชนิดพ่นหรือทาที่มีค่าการยึดเกาะ </t>
  </si>
  <si>
    <t xml:space="preserve">   ตามมาตรฐาน ASTM C - 633 ไม่น้อยกว่า 40 กก./ตร.ม. มีค่าการสะท้อน</t>
  </si>
  <si>
    <t xml:space="preserve">  ความร้อนตาม JIS R - 3106 ไม่น้อยกว่า 94 % และให้เสริมความแข็งแรง</t>
  </si>
  <si>
    <t xml:space="preserve">  ด้วยแผ่น Polyfiber  ความหนารวมของทั้งระบบกันซึมต้องไม่น้อยกว่า</t>
  </si>
  <si>
    <t xml:space="preserve">   1,000 ไมครอน โดยให้ทาน้ำยากันซึมตามขอบผนังที่ต่อเนื่องกับพื้นหลังคา </t>
  </si>
  <si>
    <t xml:space="preserve">  สูงขึ้นมาอย่างน้อย  0.20 ม.</t>
  </si>
  <si>
    <t xml:space="preserve"> - D1 ประตูด้านหลังพร้อมติดตั้งมุ้งมุ้งลวด</t>
  </si>
  <si>
    <t xml:space="preserve"> - อ่างล้างหน้าชนิดแขวนพร้อมก๊อกน้ำ</t>
  </si>
  <si>
    <t>- ราวแขวนผ้า   ยาว 0.60 ม.</t>
  </si>
  <si>
    <t xml:space="preserve"> - ตู้กระจกบานเดี่ยว ขนาด ก. 0.40 x ส. 0.60 ม. X ล. 0.15</t>
  </si>
  <si>
    <t>- จมูกบันไดอลูมิเนียม</t>
  </si>
  <si>
    <t>- เคาน์เตอร์ ค.ส.ล. ห้องครัวกรุหินแกรนิตสีเทา</t>
  </si>
  <si>
    <t xml:space="preserve"> - ช่องระบายน้ำกล่องอลูมิเนียม 1.75 " x 4 " ตัดปลายแหลม</t>
  </si>
  <si>
    <t xml:space="preserve"> - อ่างล้างจานพร้อมที่คว่ำภาชนะสเตนเลสพร้อมก๊อกน้ำ</t>
  </si>
  <si>
    <t xml:space="preserve">  2x18W แสง Daylight</t>
  </si>
  <si>
    <t xml:space="preserve">  1x18W แสง Daylight</t>
  </si>
  <si>
    <t xml:space="preserve">  1x9W แสง Daylight</t>
  </si>
  <si>
    <t>- CELING LUMINAIRE 4x5W. LED. BUBE LAMP</t>
  </si>
  <si>
    <t xml:space="preserve">- SURFACE TYPE DOWNLIGHT LUMINAIRE 5W.  </t>
  </si>
  <si>
    <t xml:space="preserve">  LED. BUBE LAMP OUTDOOR TYPE</t>
  </si>
  <si>
    <t xml:space="preserve">- RECESS TYPE DOWNLIGHT LUMINAIRE 5W. </t>
  </si>
  <si>
    <t xml:space="preserve">  LED. BUBE LAMP INDOOR TYPE</t>
  </si>
  <si>
    <t xml:space="preserve">- สวิทซ์ปิด-เปิดทางเดียว ทนกระแสไม่น้อนกว่า 16A.  </t>
  </si>
  <si>
    <t xml:space="preserve">  ทนแรงดันไม่น้อยกว่า 250V.AC.</t>
  </si>
  <si>
    <t xml:space="preserve">- สวิทซ์ปิด-เปิดสองทาง ทนกระแสไม่น้อนกว่า 16A.  </t>
  </si>
  <si>
    <t>- เต้ารับคู่แบบมีกราวด์ (2P+G) ทนกระแสไม่น้อยกว่า 16A.</t>
  </si>
  <si>
    <t>ระบบไฟฟ้าภายในอาคารพักนายทหารประทวน 64 ครอบครัว (ต่อ)</t>
  </si>
  <si>
    <t>- เต้ารับเดี่ยวแบบไม่มีกราวด์ (2P) ทนกระแสไม่น้อยกว่า 16A.</t>
  </si>
  <si>
    <t>- 6" EXHAUST FAN</t>
  </si>
  <si>
    <t>- JUNCTION BOX</t>
  </si>
  <si>
    <t>- 800A. 600V.AC. SAFETY SWITCHES HEAVY DUTY FUSIBLE (INDOOR TYPE)</t>
  </si>
  <si>
    <t>ตู้ CU. 1-64</t>
  </si>
  <si>
    <t xml:space="preserve"> - ตู้  CONSUMER UNIT ชนิดมี 6 ช่อง พร้อม MAIN CIRCUIT</t>
  </si>
  <si>
    <t xml:space="preserve">   BREAKER 50AT. 2P MCB 10kA. IC at 240 V.</t>
  </si>
  <si>
    <t xml:space="preserve"> - BRANCH BREAKER 20AT. 1P 6kA. IC </t>
  </si>
  <si>
    <t xml:space="preserve"> - BRANCH BREAKER 32AT. 1P 6kA. IC ELCB.</t>
  </si>
  <si>
    <t>**********</t>
  </si>
  <si>
    <t>ตู้ MDB.TS 1436</t>
  </si>
  <si>
    <t xml:space="preserve"> - ตู้ MAIN DISTRIBUTION BOARD และ CU BUSBAR </t>
  </si>
  <si>
    <t xml:space="preserve">   FN/HG 1000A. 3Ph - 4W. 50Hz. พร้อมอุปกรณ์</t>
  </si>
  <si>
    <t xml:space="preserve"> - 800A. 3P MCCB 36kA. IC / w GFP.</t>
  </si>
  <si>
    <t xml:space="preserve"> - 250A. 3P MCCB 36kA. IC </t>
  </si>
  <si>
    <t xml:space="preserve"> - 200A. 3P MCCB 25kA. IC </t>
  </si>
  <si>
    <t xml:space="preserve"> - 125A. 3P MCCB 18kA. IC </t>
  </si>
  <si>
    <t>ตู้ MDB.TS 1436 (ต่อ)</t>
  </si>
  <si>
    <t xml:space="preserve"> - 80A. 3P MCCB 18kA. IC </t>
  </si>
  <si>
    <t xml:space="preserve"> - 50A. 3P MCCB 15kA. IC </t>
  </si>
  <si>
    <t xml:space="preserve"> - 30A. 3P MCCB 15kA. IC </t>
  </si>
  <si>
    <t xml:space="preserve"> - PILOT LAMP</t>
  </si>
  <si>
    <t xml:space="preserve"> - 6A. FUSES</t>
  </si>
  <si>
    <t xml:space="preserve"> - CT 800/5A. CURRENT TRANSFORMER</t>
  </si>
  <si>
    <t xml:space="preserve"> - DIGITAL METERING DEVICE ( V,A,KVA,KVAR,PF,HZ)</t>
  </si>
  <si>
    <t xml:space="preserve"> - HRC FUSE 100A. 1P</t>
  </si>
  <si>
    <t xml:space="preserve"> - SURGE PROTECTION DEVICE CLASS 1 50kA./PH.</t>
  </si>
  <si>
    <t xml:space="preserve"> - 12 STEP ROTARY POWER FACTOR CONTROLLER</t>
  </si>
  <si>
    <t xml:space="preserve"> - 25AT. 3P.CB.MINIATURE</t>
  </si>
  <si>
    <t xml:space="preserve"> - PUSHBUTTONS SWITCH</t>
  </si>
  <si>
    <t xml:space="preserve"> - 10 kVAR. CONTACTOR AC-3</t>
  </si>
  <si>
    <t xml:space="preserve"> - 10 kVAR. 3Ø - 400V.AC. CAP BANK</t>
  </si>
  <si>
    <t xml:space="preserve"> - GROUNDING  SYSTEM</t>
  </si>
  <si>
    <t>- KILOWATT-HOUR METER 15(45) A.220 V.AC. 1Ph. 2WIRE 50Hz.</t>
  </si>
  <si>
    <t>************</t>
  </si>
  <si>
    <t>***********</t>
  </si>
  <si>
    <t xml:space="preserve">  200 A. 380/220 V.AC. 3 Ø - 4 W. 50 HZ. </t>
  </si>
  <si>
    <t>*****************</t>
  </si>
  <si>
    <t>ตู้ WPCC1 (ต่อ)</t>
  </si>
  <si>
    <t>- 1.5 sq.mm THW.</t>
  </si>
  <si>
    <t>- 2.5 sq.mm THW.</t>
  </si>
  <si>
    <t>- 4 sq.mm THW.</t>
  </si>
  <si>
    <t>- 6 sq.mm THW.</t>
  </si>
  <si>
    <t>สายไฟฟ้าและท่อร้อยสายไฟฟ้า (ต่อ)</t>
  </si>
  <si>
    <t>- 10 sq.mm THW.</t>
  </si>
  <si>
    <t>- 16 sq.mm THW.</t>
  </si>
  <si>
    <t>- 25 sq.mm THW.</t>
  </si>
  <si>
    <t xml:space="preserve">- 16 sq.mm CV. XLPE 0.6 / 1.0 kV. </t>
  </si>
  <si>
    <t xml:space="preserve">- 35 sq.mm CV. XLPE 0.6 / 1.0 kV. </t>
  </si>
  <si>
    <t xml:space="preserve">- 95 sq.mm CV. XLPE 0.6 / 1.0 kV. </t>
  </si>
  <si>
    <t>ท่อร้อยสายไฟฟ้า และ WIRE WAY</t>
  </si>
  <si>
    <t>- ท่อ ขนาด ø  1/2" EMT</t>
  </si>
  <si>
    <t>- ท่อ ขนาด ø  3/4" EMT</t>
  </si>
  <si>
    <t xml:space="preserve">- ท่อ ขนาด ø 1" IMC </t>
  </si>
  <si>
    <t xml:space="preserve">- ท่อ ขนาด ø 1 1/2" IMC  </t>
  </si>
  <si>
    <t xml:space="preserve">- ท่อ ขนาด ø 2" IMC </t>
  </si>
  <si>
    <t>- 100x75xT1.6 mm. WIRE WAY</t>
  </si>
  <si>
    <t>- 100x100xT1.6 mm. WIRE WAY</t>
  </si>
  <si>
    <t>- 150x100xT1.6 mm. WIRE WAY</t>
  </si>
  <si>
    <t>- 250x100xT1.6 mm. WIRE WAY</t>
  </si>
  <si>
    <t>ท่อร้อยสายไฟฟ้า และ WIRE WAY (ต่อ)</t>
  </si>
  <si>
    <t>ระบบโทรทัศน์ อาคารพักนายทหารประทวน 64 ครอบครัว</t>
  </si>
  <si>
    <t xml:space="preserve"> - TELEVISION OUTLET</t>
  </si>
  <si>
    <t xml:space="preserve"> - 2 WAYS SPLITTER</t>
  </si>
  <si>
    <t xml:space="preserve"> - สายโทรทัศน์ RG-11</t>
  </si>
  <si>
    <t xml:space="preserve"> - ท่อร้อยสาย Ø 3/4" EMT</t>
  </si>
  <si>
    <t xml:space="preserve"> - อุปกรณ์ประกอบและอื่น ๆ</t>
  </si>
  <si>
    <t xml:space="preserve">ระบบสัญญาณเตือนภัยอาคารพักนายทหารประทวน 64 ครอบครัว  </t>
  </si>
  <si>
    <t xml:space="preserve">- RESISTOR OF END </t>
  </si>
  <si>
    <t>- 2.5 sq.mm FRC</t>
  </si>
  <si>
    <t>- ท่อร้อยสาย Ø 1/2" EMT</t>
  </si>
  <si>
    <t xml:space="preserve">งานระบบป้องกันฟ้าผ่า และ GROUND พื้น อาคารพักนายทหารประทวน 64 ครอบครัว  </t>
  </si>
  <si>
    <t xml:space="preserve"> - Air Terminal Dia. 15 mm.(5/8'') Leng 600 mm.</t>
  </si>
  <si>
    <t xml:space="preserve"> - Adjustable Saddle For Air Terminal Dia. 15 mm.(5/8'')  </t>
  </si>
  <si>
    <t xml:space="preserve">   Copper Tape Size 25X3 mm.</t>
  </si>
  <si>
    <t xml:space="preserve"> - Steel Plate For Saddle With Bolt JP Size M5 x 25 mm.</t>
  </si>
  <si>
    <t xml:space="preserve"> - Support (Bakelite)</t>
  </si>
  <si>
    <t xml:space="preserve"> - Stainless Steel Bolt Taper Head Size 1/4"X3/4"   </t>
  </si>
  <si>
    <t xml:space="preserve"> - Copper Tape Size 25X3 mm.</t>
  </si>
  <si>
    <t xml:space="preserve"> - Tape Support For Copper Tape Size 25X3 mm.</t>
  </si>
  <si>
    <t xml:space="preserve"> - Cable To Tape Clamp Cable 35-120 Sq.mm. To Tape 25X3 mm.</t>
  </si>
  <si>
    <t xml:space="preserve"> - Square Tape Support For Copper Tape Size 25X3 mm.</t>
  </si>
  <si>
    <t xml:space="preserve"> - Concrete Inspection Pit</t>
  </si>
  <si>
    <t xml:space="preserve"> - Bar Pit Size L.315XW.50.8XT.6.35 mm. With 5 Holes</t>
  </si>
  <si>
    <t xml:space="preserve"> - Copper Lug One Hoie For Cable Size 70 Sq.mm.</t>
  </si>
  <si>
    <t xml:space="preserve"> - Ground Rod Singel Type Dia. 14.2 mm.(5/8").Length 10 ft</t>
  </si>
  <si>
    <t xml:space="preserve"> - One Time Type NT3, Cable Size 70 Sq.mm. To Rod 5/8"</t>
  </si>
  <si>
    <t>งานระบบป้องกันฟ้าผ่า และ GROUND พื้น อาคารพักนายทหารประทวน 64 ครอบครัว  (ต่อ)</t>
  </si>
  <si>
    <t xml:space="preserve"> - Flint Igniter</t>
  </si>
  <si>
    <t xml:space="preserve"> - 70 sq.mm. Bare Copper Conductors </t>
  </si>
  <si>
    <t xml:space="preserve"> - ท่อ Ø 1'' PVC</t>
  </si>
  <si>
    <t xml:space="preserve"> - อุปกรณ์ประกอบ</t>
  </si>
  <si>
    <t xml:space="preserve"> - ค่าแรงระบบระบบป้องกันฟ้าผ่า และ GROUND พื้น</t>
  </si>
  <si>
    <t xml:space="preserve">ระบบประปาและสุขาภิบาลภายในอาคารพักนายทหารประทวน 64 ครอบครัว  </t>
  </si>
  <si>
    <t xml:space="preserve"> HDPE PN 10,PE 100</t>
  </si>
  <si>
    <t xml:space="preserve"> - ข้อต่อ อุปกรณ์ยึดท่อ + อื่นๆ </t>
  </si>
  <si>
    <t xml:space="preserve"> - ทดสอบ ทำความสะอาด ทาสี ทำสัญลักษณ์ท่อฯ</t>
  </si>
  <si>
    <t xml:space="preserve"> GSP ( bs-m )</t>
  </si>
  <si>
    <t xml:space="preserve"> - Ø 4"</t>
  </si>
  <si>
    <t xml:space="preserve"> GATE VALVE </t>
  </si>
  <si>
    <t xml:space="preserve"> - Ø 3"  </t>
  </si>
  <si>
    <t xml:space="preserve"> WATER METER </t>
  </si>
  <si>
    <t xml:space="preserve"> - Ø 2 1/2" </t>
  </si>
  <si>
    <t xml:space="preserve"> MODULATING FLOAT VALVE</t>
  </si>
  <si>
    <t>แผ่น</t>
  </si>
  <si>
    <t>ระบบประปาและสุขาภิบาลภายในอาคารพักนายทหารประทวน 64 ครอบครัว (ต่อ)</t>
  </si>
  <si>
    <t xml:space="preserve"> MODULATING FLOAT VALVE (ต่อ)</t>
  </si>
  <si>
    <t xml:space="preserve"> - Valve Box ขนาดเท่ากับบ่อพักน้ำ MH 2 มีฝาเหล็ก หนา 3 มม. </t>
  </si>
  <si>
    <t xml:space="preserve">   ปิดครอบกันน้ำฝน พร้อมด้ามจับ ทั้ง 2 ด้าน ทาสีกันสนิม 2 ชั้น</t>
  </si>
  <si>
    <t>วัสดุ+แรงงาน</t>
  </si>
  <si>
    <t xml:space="preserve"> เดินท่อฯ จาก ถังเก็บน้ำไฟเบอร์กลาส ชั้นล่าง จ่ายขึ้นถังเก็บน้ำฯ</t>
  </si>
  <si>
    <t>บนหลังคา</t>
  </si>
  <si>
    <t xml:space="preserve"> - Ø 3"</t>
  </si>
  <si>
    <t xml:space="preserve"> - Ø 6"</t>
  </si>
  <si>
    <t xml:space="preserve"> - Ø 4"  </t>
  </si>
  <si>
    <t xml:space="preserve"> - Ø 6"  </t>
  </si>
  <si>
    <t xml:space="preserve"> CHECK VALVE </t>
  </si>
  <si>
    <t xml:space="preserve"> FLEXIBLE CONNECTION</t>
  </si>
  <si>
    <t xml:space="preserve"> STRAINER</t>
  </si>
  <si>
    <t xml:space="preserve"> เดินท่อฯ จาก ถังเก็บน้ำฯ บนหลังคา จ่ายไปยังห้องพักฯ ชั้นอื่นๆ</t>
  </si>
  <si>
    <t xml:space="preserve"> - Ø 1 1/4"</t>
  </si>
  <si>
    <t xml:space="preserve"> - Ø 1 1/2"</t>
  </si>
  <si>
    <t xml:space="preserve"> - Ø 2"</t>
  </si>
  <si>
    <t xml:space="preserve"> - Ø 2 1/2"</t>
  </si>
  <si>
    <t xml:space="preserve"> BLIND FLANGE</t>
  </si>
  <si>
    <t xml:space="preserve"> - Ø 2"  </t>
  </si>
  <si>
    <t xml:space="preserve"> - Ø 2 1/2"  </t>
  </si>
  <si>
    <t xml:space="preserve"> เดินท่อฯ ภายในห้องพัก</t>
  </si>
  <si>
    <t>PVC 13.5</t>
  </si>
  <si>
    <t xml:space="preserve"> - Ø 1/2" </t>
  </si>
  <si>
    <t xml:space="preserve"> - Ø 3/4" </t>
  </si>
  <si>
    <t xml:space="preserve"> STOP VALVE</t>
  </si>
  <si>
    <t xml:space="preserve"> - Ø 3/4"  </t>
  </si>
  <si>
    <t>HOSEE BIBB</t>
  </si>
  <si>
    <t xml:space="preserve"> - ถังเก็บน้ำสำเร็จรูป (PE) แบบตั้งพื้นบนดาดฟ้า ขนาดความจุ 20 ลบ.ม  </t>
  </si>
  <si>
    <t xml:space="preserve"> - ถังเก็บน้ำสำเร็จรูป (PE) แบบตั้งพื้น ขนาดความจุไม่น้อยกว่า 25 ลบ.ม.  </t>
  </si>
  <si>
    <t xml:space="preserve"> WATER PUMP</t>
  </si>
  <si>
    <t xml:space="preserve"> - ระบบควบคุมการทำงาน WATER PUMP </t>
  </si>
  <si>
    <t xml:space="preserve"> - Booster Pump  Capacity 20 m3/hr. THD. 30 m. Motor 5 HP</t>
  </si>
  <si>
    <t>(จำนวน 4 เครื่อง/2 เครื่องต่อ 1 ชุด)พร้อมถังอัดแรงดัน พร้อมระบบควบคุม</t>
  </si>
  <si>
    <t>แบบอัตโนมัติ</t>
  </si>
  <si>
    <t xml:space="preserve"> ท่อโสโครก , ท่อน้ำทิ้ง , ท่ออากาศ ภายในอาคาร</t>
  </si>
  <si>
    <t>PVC 8.5</t>
  </si>
  <si>
    <t xml:space="preserve"> CLEAN OUT</t>
  </si>
  <si>
    <t>FLOOR CLEAN OUT</t>
  </si>
  <si>
    <t>FLEXIBLE CONNECTION</t>
  </si>
  <si>
    <t xml:space="preserve"> FLOOR DRAIN</t>
  </si>
  <si>
    <t xml:space="preserve"> P-TRAP</t>
  </si>
  <si>
    <t xml:space="preserve"> - ถังบำบัดน้ำเสีย (แบบหมายเลข 54-402 แบบที่ 3)</t>
  </si>
  <si>
    <t xml:space="preserve"> - ฐาน ค.ส.ล. วางถังบำบัดฯ + คอนกรีตรัดฝาถัง + ค่าแรงวางถัง</t>
  </si>
  <si>
    <t xml:space="preserve"> แรงงาน</t>
  </si>
  <si>
    <t xml:space="preserve"> ท่อน้ำฝน</t>
  </si>
  <si>
    <t>*********</t>
  </si>
  <si>
    <t xml:space="preserve"> ROOF DRAIN</t>
  </si>
  <si>
    <t xml:space="preserve">ระบบดับเพลิงภายในอาคารพักนายทหารประทวน 64 ครอบครัว  </t>
  </si>
  <si>
    <t xml:space="preserve"> BLACK STEEL PIPE</t>
  </si>
  <si>
    <t xml:space="preserve"> - ทดสอบ ทำความสะอาด  ทำสัญลักษณ์ท่อฯ</t>
  </si>
  <si>
    <t xml:space="preserve"> - ทาสีท่อดับเพลิง</t>
  </si>
  <si>
    <t xml:space="preserve"> OS &amp; Y GATE VALVE </t>
  </si>
  <si>
    <t>ระบบดับเพลิงภายในอาคารพักนายทหารประทวน 64 ครอบครัว   (ต่อ)</t>
  </si>
  <si>
    <t xml:space="preserve"> BALL VALVE </t>
  </si>
  <si>
    <t xml:space="preserve"> AIR VALVE </t>
  </si>
  <si>
    <t xml:space="preserve"> PRESSURE RELIEF VALVE</t>
  </si>
  <si>
    <t xml:space="preserve"> PRESSURE GAUGE</t>
  </si>
  <si>
    <t xml:space="preserve"> ตู้ดับเพลิง FHC ( DETAIL FIRE HOSE CABINET )</t>
  </si>
  <si>
    <t xml:space="preserve"> - ตู้เก็บสายฉีดน้ำดับเพลิง </t>
  </si>
  <si>
    <t xml:space="preserve"> - ABC DRY CHEMICAL FIRE EXTINGUISHER,CAP.10LBS. FIRE RATING</t>
  </si>
  <si>
    <t>NOT LESTHAN 6 A : 10 B</t>
  </si>
  <si>
    <t xml:space="preserve"> - ค่าแรงงานประกอบและติดตั้งอุปกรณ์ ภายในตู้ฯ</t>
  </si>
  <si>
    <t xml:space="preserve"> - Fire Pump อัตราการสูบไม่น้อยกว่า  500gpm สูบส่งได้ไม่น้อยกว่า 80m </t>
  </si>
  <si>
    <t xml:space="preserve">  กำลังมอเตอร์ไม่น้อยกว่า 50 HP  พร้อมตู้ควบคุมการทำงาน FIRE PUMP</t>
  </si>
  <si>
    <t xml:space="preserve"> - JUCKEY PUMP สูบน้ำได้ไม่น้อยกว่า 7 ลบ.ม./ชม. ที่ TDH.85 ม. </t>
  </si>
  <si>
    <t xml:space="preserve">  ขับด้วยมอเตอร์ไฟฟ้า ขนาดไม่น้อยกว่า 5 HP ที่มีความเร็วรอบไม่เกิน 3,000</t>
  </si>
  <si>
    <t xml:space="preserve">  รอบ/นาที ระบบไฟฟ้า 380 V/3P/50 Hz  พร้อมตู้ควบคุมการทำงาน </t>
  </si>
  <si>
    <t xml:space="preserve"> - เครื่องดับเพลิงแบบมือถือชนิดฝงแห้ง ขนาดความจุไม่น้อยกว่า 15 ปอนด์</t>
  </si>
  <si>
    <t xml:space="preserve">   FIRE RATING ไม่น้อยกว่า 6A-20B (ABC)</t>
  </si>
  <si>
    <t>งานครุภัณฑ์ อาคารพักประทวน 64 ครอบครัว</t>
  </si>
  <si>
    <t>งานภูมิสถาปัตยกรรม</t>
  </si>
  <si>
    <t xml:space="preserve"> - ไถปรับระดับ (ตัดดิน) พื้นที่ก่อสร้าง ให้ได้ระดับพร้อมขุดลอกหน้าดิน</t>
  </si>
  <si>
    <t xml:space="preserve">   ที่อ่อนและมีว้ชพืชออก</t>
  </si>
  <si>
    <t xml:space="preserve"> - งานขอบคัน ค.ส.ล.</t>
  </si>
  <si>
    <t xml:space="preserve"> - งานปรับระดับดินพร้อมปลูกหญ้านวลน้อย</t>
  </si>
  <si>
    <t xml:space="preserve">  - งานพื้นกระเบื้องคอนกรีตบล๊อคพิมพ์ลาย  </t>
  </si>
  <si>
    <t xml:space="preserve">  - ค่าแรงบดอัดแน่นดินเดิม</t>
  </si>
  <si>
    <t xml:space="preserve">  - ค่าแรงบดอัดชั้นรองพื้นทาง</t>
  </si>
  <si>
    <t xml:space="preserve">  - ค่าแรงบดอัดชั้นพื้นทาง</t>
  </si>
  <si>
    <t xml:space="preserve">  - PRIME  COAT</t>
  </si>
  <si>
    <t xml:space="preserve">  - ผิงทาง ASPHALTIC  CONCRETE หนา 0.05 ม.</t>
  </si>
  <si>
    <t xml:space="preserve"> - เสาเข็มเจาะ ขนาดเส้นผ่าศูนย์กลาง 0.50 x 12.00 ม.</t>
  </si>
  <si>
    <t xml:space="preserve">                RB  9  มม.  (SR 24)</t>
  </si>
  <si>
    <t xml:space="preserve">                RB  6  มม.  (SR 24)</t>
  </si>
  <si>
    <t>งานระบบไฟฟ้าภายนอก</t>
  </si>
  <si>
    <t xml:space="preserve"> - เสาไฟฟ้าแรงสูง คอร. ขนาด  12.20 ม.</t>
  </si>
  <si>
    <t xml:space="preserve"> - คอนนั่งร้านหม้อแปลงไฟฟ้า คอร.</t>
  </si>
  <si>
    <t xml:space="preserve"> - เหล็กหูช้างรับคานนั่งร้าน</t>
  </si>
  <si>
    <t xml:space="preserve"> - เหล็กประกับไม้คอน. ขนาด 1 1/4" x 1/4" x 36"</t>
  </si>
  <si>
    <t xml:space="preserve"> - ฮอทไลท์แคล้มป์</t>
  </si>
  <si>
    <t xml:space="preserve"> - เบลแคล้มป์</t>
  </si>
  <si>
    <t xml:space="preserve"> - DROP  FUSE</t>
  </si>
  <si>
    <t xml:space="preserve"> - FUSE  LINK</t>
  </si>
  <si>
    <t xml:space="preserve"> - LIGHTNING  ARRESTER  ( HV)</t>
  </si>
  <si>
    <t xml:space="preserve"> - LINE POST INSULATOR</t>
  </si>
  <si>
    <t xml:space="preserve"> - SUSPENSION  INSULATOR</t>
  </si>
  <si>
    <t xml:space="preserve">  TYPE  ( HERMETTICALLY SEALED)  PLAT FORM TRANSFORMER</t>
  </si>
  <si>
    <t>งานระบบไฟฟ้าภายนอก (ต่อ)</t>
  </si>
  <si>
    <t xml:space="preserve"> - SAFETY SWITCH  800A.600V.AC. </t>
  </si>
  <si>
    <t xml:space="preserve"> - สายไฟฟ้า 6 Sq.mm. THW</t>
  </si>
  <si>
    <t xml:space="preserve"> - สายไฟฟ้า 300 Sq.mm. CV. 0.6/1 kV.</t>
  </si>
  <si>
    <t xml:space="preserve"> - สายไฟฟ้า 50 Sq.mm. SAC  24 kV.</t>
  </si>
  <si>
    <t xml:space="preserve"> - ท่อ ขนาด 1"  IMC</t>
  </si>
  <si>
    <t xml:space="preserve"> - PREFORMED  50 Sq.mm.</t>
  </si>
  <si>
    <t xml:space="preserve"> - สายล่อฟ้า 25 Sq.mm. OHGW</t>
  </si>
  <si>
    <t xml:space="preserve"> - OVER HEAD BAYONET 65X65X6X2250 mm.</t>
  </si>
  <si>
    <t xml:space="preserve"> - DEAD END BAYONET 65X65X6X2250 mm.</t>
  </si>
  <si>
    <t xml:space="preserve"> - GROUND  ROD  OVER HEAD</t>
  </si>
  <si>
    <t xml:space="preserve"> - SECONDARY RACK  2 ลูกถ้วย</t>
  </si>
  <si>
    <t xml:space="preserve"> - SERVICE   ENTRANCE  Ø  1"</t>
  </si>
  <si>
    <t xml:space="preserve"> - CABLE LADDER 300x100x3000 mm.</t>
  </si>
  <si>
    <t xml:space="preserve"> - ตู้ควบคุมโคมไฟถนน พร้อมอุปกรณ์ ขนาดไม่น้อยกว่า 30 A.</t>
  </si>
  <si>
    <t xml:space="preserve"> - โคมไฟถนน หลอด LED TUBE  ขนาด 2x18 W.</t>
  </si>
  <si>
    <t xml:space="preserve"> - ค่าแรงระบบไฟฟ้าภายนอกอาคาร</t>
  </si>
  <si>
    <t>งานภูมิสถาปัตย์,ถนนและลานราดยาง</t>
  </si>
  <si>
    <t>งานระบบไฟฟ้าภายนอกอาคาร</t>
  </si>
  <si>
    <t>งานระบบประปาและสุขาภิบาลภายนอกอาคาร</t>
  </si>
  <si>
    <t xml:space="preserve">     ขนาด 0.30 x 0.30 ม.  ความหนา 6 ซม.</t>
  </si>
  <si>
    <t xml:space="preserve"> - แท่งคอนครีตหยุดล้อรถ (Wheel  Stopper) พร้อมอุปกรณ์ยึด</t>
  </si>
  <si>
    <t xml:space="preserve"> - ตีเส้นแบ่งที่จอดรถ</t>
  </si>
  <si>
    <t>งานประปาภายนอก (ต่อ)</t>
  </si>
  <si>
    <t>งานระบายน้ำภายนอก</t>
  </si>
  <si>
    <t>งานระบายน้ำภายนอก (ต่อ)</t>
  </si>
  <si>
    <t>61 - 2 - 040 , 58 - 2 - 059</t>
  </si>
  <si>
    <t xml:space="preserve">  </t>
  </si>
  <si>
    <t xml:space="preserve"> -  F 1  เตียงนอนสำหรับที่นอน ขนาด 6  ฟุต พร้อมที่นอน</t>
  </si>
  <si>
    <t xml:space="preserve"> -  F 2  ตู้ข้างเตียง</t>
  </si>
  <si>
    <t xml:space="preserve"> -  F 3  โต๊ะเครื่องแป้ง</t>
  </si>
  <si>
    <t xml:space="preserve"> -  F 4  ตู้เสื้อผ้าบานเลื่อน</t>
  </si>
  <si>
    <t xml:space="preserve"> -  F 5  ตู้วางทีวี</t>
  </si>
  <si>
    <t xml:space="preserve"> -  F 6  โต๊ะอาหาร</t>
  </si>
  <si>
    <t xml:space="preserve"> -  F 7  เก้าอี้</t>
  </si>
  <si>
    <t xml:space="preserve"> -  F 8  โซฟา 2 ที่นั่ง</t>
  </si>
  <si>
    <t xml:space="preserve"> -  F 9  ตู้ลอยเหนือเคาน์เตอร์ครัว</t>
  </si>
  <si>
    <t xml:space="preserve"> -  F 10  โต๊ะกลาง</t>
  </si>
  <si>
    <t xml:space="preserve">  - งานลูกรังชั้นรองพื้นทาง   </t>
  </si>
  <si>
    <t xml:space="preserve">  - งานหินคลุกชั้นพื้นทาง   </t>
  </si>
  <si>
    <t xml:space="preserve">ของ กบร.กร.    จำนวน 1 หลัง </t>
  </si>
  <si>
    <t>งานถนนและลานลาดยาง   (ถนนและลาน = 1,246 ตร.ม.)</t>
  </si>
  <si>
    <t xml:space="preserve">ระบบไฟฟ้าภายในอาคารพักนายทหารประทวน 64 ครอบครัว  </t>
  </si>
  <si>
    <t xml:space="preserve"> - คอนรับสายลงหม้อแปลงไฟฟ้า (HOTDIP CHANNEL STELL BEAM)</t>
  </si>
  <si>
    <t xml:space="preserve"> - คอนสปั่น คอร.</t>
  </si>
  <si>
    <t xml:space="preserve"> - GROUND ROD LOW HIGH VOLTAGE</t>
  </si>
  <si>
    <t xml:space="preserve"> - สายไฟฟ้า 6 Sq.mm. CV. 0.6/1 kV.</t>
  </si>
  <si>
    <t xml:space="preserve"> - สายไฟฟ้า 240 Sq.mm. CV. 0.6/1 kV.</t>
  </si>
  <si>
    <t xml:space="preserve"> - ท่อ ขนาด 4"  IMC</t>
  </si>
  <si>
    <t xml:space="preserve"> - ท่อ ขนาด 40 mm. HDPE</t>
  </si>
  <si>
    <t xml:space="preserve"> - CONNER BAYONET 65X65X6X2150 mm.</t>
  </si>
  <si>
    <t xml:space="preserve"> - SERVICE   ENTRANCE  Ø  4"</t>
  </si>
  <si>
    <t xml:space="preserve"> - สายยึดโยงเสาไฟฟ้า ขนาด 12.20 เมตร</t>
  </si>
  <si>
    <t>งานประปาภายนอก</t>
  </si>
  <si>
    <t xml:space="preserve"> HDPE PE100,PN10</t>
  </si>
  <si>
    <t xml:space="preserve"> - Ø 90 mm.</t>
  </si>
  <si>
    <t xml:space="preserve"> - Ø 110 mm.</t>
  </si>
  <si>
    <t xml:space="preserve"> SP(Sleeve) (ใช้วิธีดันลอด)</t>
  </si>
  <si>
    <t xml:space="preserve"> - Ø 6 " </t>
  </si>
  <si>
    <t xml:space="preserve"> อุปกรณ์ข้อต่อ HDPE (สวมอัด)</t>
  </si>
  <si>
    <r>
      <t xml:space="preserve"> - ข้อต่อ 90</t>
    </r>
    <r>
      <rPr>
        <sz val="14"/>
        <rFont val="AngsanaUPC"/>
        <family val="1"/>
      </rPr>
      <t>°</t>
    </r>
    <r>
      <rPr>
        <sz val="14"/>
        <rFont val="TH Sarabun New"/>
        <family val="2"/>
      </rPr>
      <t xml:space="preserve"> Ø 90 x 90 mm.</t>
    </r>
  </si>
  <si>
    <t xml:space="preserve"> - ข้อต่อตรง Ø 90 x 90 mm.</t>
  </si>
  <si>
    <t xml:space="preserve"> - ข้อต่อตรง Ø 110 x 110 mm.</t>
  </si>
  <si>
    <t xml:space="preserve"> - Accessories &amp; Painting,Cleaning</t>
  </si>
  <si>
    <t xml:space="preserve"> อุปกรณ์ประกอบ </t>
  </si>
  <si>
    <t xml:space="preserve"> VALVE BOX เดิมเปลี่ยนอุปกรณ์บางส่วน (รายละเอียดตามแบบ)</t>
  </si>
  <si>
    <t xml:space="preserve"> - GATE VALVE Ø 4"</t>
  </si>
  <si>
    <t xml:space="preserve"> - ท่อ GSP Ø 4"</t>
  </si>
  <si>
    <t xml:space="preserve"> - FLEXIBLE CONNECTOR Ø 4"</t>
  </si>
  <si>
    <t xml:space="preserve"> - ตัดบรรจบท่อเมนประปาเดิม (ในบ่อ VALVE BOX)</t>
  </si>
  <si>
    <t xml:space="preserve"> VALVE BOX 1</t>
  </si>
  <si>
    <t xml:space="preserve"> - บ่อ VALVE (รายละเอียดตามแบบ)</t>
  </si>
  <si>
    <t xml:space="preserve"> - ท่อ GSP Ø 3"</t>
  </si>
  <si>
    <t xml:space="preserve"> - GATE VALVE Ø 3"</t>
  </si>
  <si>
    <t xml:space="preserve"> - FLEXIBLE CONNECTOR Ø 3"</t>
  </si>
  <si>
    <t xml:space="preserve"> VALVE BOX 2</t>
  </si>
  <si>
    <t xml:space="preserve"> - ป้ายบอกแนวท่อ</t>
  </si>
  <si>
    <t xml:space="preserve"> - ดินขุดกลบคืน</t>
  </si>
  <si>
    <t xml:space="preserve"> - ตัดบรรจบท่อเมนประปาเดิม (เข้าระบบประปาภายในอาคาร)</t>
  </si>
  <si>
    <t>งานดับเพลิง</t>
  </si>
  <si>
    <t xml:space="preserve"> หัวดับเพลิงแบบที่ 1 </t>
  </si>
  <si>
    <t xml:space="preserve"> - ท่อ SP Ø 4"</t>
  </si>
  <si>
    <t xml:space="preserve"> - หัวแกละดับเพลิง</t>
  </si>
  <si>
    <t xml:space="preserve"> - SURFACE BOX</t>
  </si>
  <si>
    <t xml:space="preserve"> - หลอดกันดิน</t>
  </si>
  <si>
    <t xml:space="preserve"> - ท่อโค้งตีนเป็ด 90° x 100 mm.</t>
  </si>
  <si>
    <t xml:space="preserve"> - ท่อโค้ง 90° x 100 mm.หน้าจานคู่</t>
  </si>
  <si>
    <t xml:space="preserve"> - ท่อสั้นหน้าจานคู่ Ø 4"</t>
  </si>
  <si>
    <t xml:space="preserve"> - แท่น ค.ส.ล. ขนาด 0.60×0.85×0.15 m.เสริมเหล็ก Ø 6 mm.@ 0.15 m.</t>
  </si>
  <si>
    <t xml:space="preserve"> - แท่น ค.ส.ล.ขนาด 0.40×0.40×0.15 m.เสริมเหล็ก Ø 9 mm.@ 0.15 m.</t>
  </si>
  <si>
    <t xml:space="preserve"> - แท่น ค.ส.ล. รองรับประตูน้ำ เสริมเหล็ก Ø 9 mm.@ 0.15 m.</t>
  </si>
  <si>
    <t xml:space="preserve"> ท่อ ค.ส.ล. ชั้น 3</t>
  </si>
  <si>
    <t xml:space="preserve"> - Ø 0.30 m. </t>
  </si>
  <si>
    <t xml:space="preserve"> - Ø 0.50 m. </t>
  </si>
  <si>
    <t xml:space="preserve"> - Ø 0.60 m. </t>
  </si>
  <si>
    <t xml:space="preserve"> ท่อลอด</t>
  </si>
  <si>
    <t xml:space="preserve"> - ท่อลอด ค.ส.ล. ชั้น 2 Ø 0.80 m. ( 2×17 ม.)</t>
  </si>
  <si>
    <t xml:space="preserve"> บ่อพักน้ำ</t>
  </si>
  <si>
    <t xml:space="preserve"> บ่อพักน้ำ ค.ส.ล. ฝาตะแกรงเหล็ก</t>
  </si>
  <si>
    <t xml:space="preserve"> - MH 5</t>
  </si>
  <si>
    <t xml:space="preserve"> บ่อพักน้ำ ค.ส.ล. ฝาคอนกรีตเสริมเหล็ก</t>
  </si>
  <si>
    <t xml:space="preserve"> - MH 2</t>
  </si>
  <si>
    <t xml:space="preserve"> - MH 4</t>
  </si>
  <si>
    <t xml:space="preserve"> บ่อพักน้ำ ค.ส.ล. ฝาบ่อตัววี ฝาคอนกรีตเสริมเหล็ก </t>
  </si>
  <si>
    <t xml:space="preserve"> บ่อพักน้ำ ค.ส.ล. ฝาคอนกรีตเสริมเหล็ก พร้อมช่องรับน้ำ</t>
  </si>
  <si>
    <t xml:space="preserve"> - ปูนยาแนวท่อ</t>
  </si>
  <si>
    <t xml:space="preserve">                DB  16  มม. (SD 40)</t>
  </si>
  <si>
    <t xml:space="preserve">                DB  20  มม. (SD 40)</t>
  </si>
  <si>
    <t xml:space="preserve">                DB  25  มม. (SD 40)</t>
  </si>
  <si>
    <t xml:space="preserve">                DB  12  มม. (SD 40)</t>
  </si>
  <si>
    <t xml:space="preserve">งานครุภัณฑ์ระบบประปาและสุขาภิบาล  </t>
  </si>
  <si>
    <r>
      <t xml:space="preserve"> - Water Pump ( P1,P2 ) Capacity 50 m</t>
    </r>
    <r>
      <rPr>
        <vertAlign val="superscript"/>
        <sz val="14"/>
        <rFont val="TH Sarabun New"/>
        <family val="2"/>
      </rPr>
      <t>3</t>
    </r>
    <r>
      <rPr>
        <sz val="14"/>
        <rFont val="TH Sarabun New"/>
        <family val="2"/>
      </rPr>
      <t>/hr. THD. 30 m.Motor 10 HP</t>
    </r>
  </si>
  <si>
    <t xml:space="preserve"> - ค่าติดตั้งถังเก็บน้ำสำเร็จรูป (PE) แบบตั้งพื้นบนดาดฟ้า ขนาดความจุ 20 ลบ.ม  </t>
  </si>
  <si>
    <t xml:space="preserve"> - ค่าติดตั้งถังเก็บน้ำสำเร็จรูป (PE) แบบตั้งพื้น ขนาดความจุไม่น้อยกว่า 25 ลบ.ม.  </t>
  </si>
  <si>
    <t>รวมครุภัณฑ์ระบบประปาและสุขาภิบาล</t>
  </si>
  <si>
    <t xml:space="preserve">   THD. 30 m.Motor 10 HP</t>
  </si>
  <si>
    <r>
      <t xml:space="preserve"> - ค่าติดตั้ง Water Pump ( P1,P2 ) Capacity 50 m</t>
    </r>
    <r>
      <rPr>
        <vertAlign val="superscript"/>
        <sz val="14"/>
        <rFont val="TH Sarabun New"/>
        <family val="2"/>
      </rPr>
      <t>3</t>
    </r>
    <r>
      <rPr>
        <sz val="14"/>
        <rFont val="TH Sarabun New"/>
        <family val="2"/>
      </rPr>
      <t xml:space="preserve">/hr.  </t>
    </r>
  </si>
  <si>
    <t xml:space="preserve"> - ค่าติดตั้งระบบควบคุมการทำงาน WATER PUMP </t>
  </si>
  <si>
    <t xml:space="preserve"> - ค่าติดตั้ง Booster Pump  Capacity 20 m3/hr. THD. 30 m. </t>
  </si>
  <si>
    <t xml:space="preserve"> - ค่าติดตั้ง JUCKEY PUMP สูบน้ำได้ไม่น้อยกว่า 7 ลบ.ม./ชม. ที่ TDH.85 ม. </t>
  </si>
  <si>
    <t xml:space="preserve"> 80m กำลังมอเตอร์ไม่น้อยกว่า 50 HP  พร้อมตู้ควบคุมการทำงาน FIRE PUMP</t>
  </si>
  <si>
    <t xml:space="preserve"> - ค่าติดตั้ง Fire Pump อัตราการสูบไม่น้อยกว่า  500gpm สูบส่งได้ไม่น้อยกว่า </t>
  </si>
  <si>
    <t xml:space="preserve"> - ฐาน ค.ส.ล. วางถังเก็บน้ำฯ </t>
  </si>
  <si>
    <t>อุปกรณ์ประกอบ  JUCKEY PUMP</t>
  </si>
  <si>
    <t xml:space="preserve"> - CHECK VALVE   Ø  2 "</t>
  </si>
  <si>
    <t xml:space="preserve"> - GATE VALVE   Ø 2 " </t>
  </si>
  <si>
    <t xml:space="preserve"> - GATE VALVE   Ø 2  1/2 " </t>
  </si>
  <si>
    <t xml:space="preserve"> - FLEXIBLE CONNECTER   Ø 2  1/2 " </t>
  </si>
  <si>
    <t xml:space="preserve"> - STRAINER   Ø 2  1/2 " </t>
  </si>
  <si>
    <t>อุปกรณ์ประกอบ  Fire Pump</t>
  </si>
  <si>
    <t xml:space="preserve"> - CHECK VALVE   Ø  4 "</t>
  </si>
  <si>
    <t xml:space="preserve"> - GATE VALVE   Ø 4 " </t>
  </si>
  <si>
    <t xml:space="preserve"> - GATE VALVE   Ø 5 " </t>
  </si>
  <si>
    <t xml:space="preserve"> - GATE VALVE   Ø  4 " </t>
  </si>
  <si>
    <t xml:space="preserve"> - FLEXIBLE CONNECTER   Ø 5 " </t>
  </si>
  <si>
    <t xml:space="preserve"> - STRAINER   Ø 5 " </t>
  </si>
  <si>
    <t xml:space="preserve">อุปกรณ์ประกอบ  Water Pump ( P1,P2 ) </t>
  </si>
  <si>
    <t xml:space="preserve"> - CHECK VALVE   Ø  3 "</t>
  </si>
  <si>
    <t xml:space="preserve"> - GATE VALVE   Ø  3 " </t>
  </si>
  <si>
    <t xml:space="preserve"> - FLEXIBLE CONNECTER   Ø 4" x 3 " </t>
  </si>
  <si>
    <t xml:space="preserve"> - STRAINER   Ø 4 " </t>
  </si>
  <si>
    <t xml:space="preserve"> - ถังอัดแรงดัน  พร้อมระบบควบคุมแบบอัตโนมัติ</t>
  </si>
  <si>
    <t xml:space="preserve">  Motor 5 HP (จำนวน 4 เครื่อง/2 เครื่องต่อ 1 ชุด) </t>
  </si>
  <si>
    <t xml:space="preserve"> - CHECK VALVE   Ø  2  1/2  "</t>
  </si>
  <si>
    <t xml:space="preserve"> - GATE VALVE   Ø 3 " </t>
  </si>
  <si>
    <t xml:space="preserve"> - GATE VALVE   Ø  2  1/2  "</t>
  </si>
  <si>
    <t xml:space="preserve"> - FLEXIBLE CONNECTER   Ø 2  1/2  "</t>
  </si>
  <si>
    <t xml:space="preserve"> - FLEXIBLE CONNECTER   Ø   3 " </t>
  </si>
  <si>
    <t>62 - 2 - 083 , 61 - 2 - 040 , 58 - 2 - 059 , 61 - 2 - 070 , 62 - 4 - 014 , 62 - 5 - 032</t>
  </si>
  <si>
    <t>แบบเลขที่ 62-2-083,61-2-040,58-2-059,61-2-070,62-4-014,62-5-032</t>
  </si>
  <si>
    <t>61 - 2 - 070 ,58 - 2 - 059</t>
  </si>
  <si>
    <t>61 - 2 - 070 , 58 - 2 - 059</t>
  </si>
  <si>
    <t>62 - 2 - 083</t>
  </si>
  <si>
    <t>62 - 5 - 032</t>
  </si>
  <si>
    <t>62 - 4 - 014</t>
  </si>
  <si>
    <r>
      <t xml:space="preserve"> - ราวลูกกรงบันได้ก่ออิฐฉาบปูนเรียบทาสี รางบันไดเหล็ก </t>
    </r>
    <r>
      <rPr>
        <sz val="14"/>
        <rFont val="Symbol"/>
        <family val="1"/>
        <charset val="2"/>
      </rPr>
      <t xml:space="preserve">f </t>
    </r>
    <r>
      <rPr>
        <sz val="14"/>
        <rFont val="TH Sarabun New"/>
        <family val="2"/>
      </rPr>
      <t xml:space="preserve"> 2 1/2"</t>
    </r>
  </si>
  <si>
    <r>
      <t xml:space="preserve">  CIRCUIT BREAKER 200 AT. 3P. CB. IC </t>
    </r>
    <r>
      <rPr>
        <u/>
        <sz val="13"/>
        <rFont val="TH Sarabun New"/>
        <family val="2"/>
      </rPr>
      <t>&gt;</t>
    </r>
    <r>
      <rPr>
        <sz val="13"/>
        <rFont val="TH Sarabun New"/>
        <family val="2"/>
      </rPr>
      <t xml:space="preserve"> 25 kA. AT. 415 V.AC.</t>
    </r>
  </si>
  <si>
    <r>
      <t xml:space="preserve">  CIRCUIT BREAKER 30 AT. 2P. IC </t>
    </r>
    <r>
      <rPr>
        <u/>
        <sz val="13"/>
        <rFont val="TH Sarabun New"/>
        <family val="2"/>
      </rPr>
      <t>&gt;</t>
    </r>
    <r>
      <rPr>
        <sz val="13"/>
        <rFont val="TH Sarabun New"/>
        <family val="2"/>
      </rPr>
      <t xml:space="preserve"> 10 kA. AT. 240 V.AC.</t>
    </r>
  </si>
  <si>
    <r>
      <t xml:space="preserve">  CIRCUIT BREAKER 80 AT. 3P. CB. IC </t>
    </r>
    <r>
      <rPr>
        <u/>
        <sz val="13"/>
        <rFont val="TH Sarabun New"/>
        <family val="2"/>
      </rPr>
      <t>&gt;</t>
    </r>
    <r>
      <rPr>
        <sz val="13"/>
        <rFont val="TH Sarabun New"/>
        <family val="2"/>
      </rPr>
      <t xml:space="preserve"> 15 kA. AT. 415 V.AC.</t>
    </r>
  </si>
  <si>
    <r>
      <t xml:space="preserve">- 200 AT. 3P. MCCB IC </t>
    </r>
    <r>
      <rPr>
        <u/>
        <sz val="14"/>
        <rFont val="TH Sarabun New"/>
        <family val="2"/>
      </rPr>
      <t>&gt;</t>
    </r>
    <r>
      <rPr>
        <sz val="14"/>
        <rFont val="TH Sarabun New"/>
        <family val="2"/>
      </rPr>
      <t xml:space="preserve"> 18 kA. at 415 V.AC.  </t>
    </r>
  </si>
  <si>
    <r>
      <t xml:space="preserve">- 80 AT. 3P. MCCB IC </t>
    </r>
    <r>
      <rPr>
        <u/>
        <sz val="14"/>
        <rFont val="TH Sarabun New"/>
        <family val="2"/>
      </rPr>
      <t>&gt;</t>
    </r>
    <r>
      <rPr>
        <sz val="14"/>
        <rFont val="TH Sarabun New"/>
        <family val="2"/>
      </rPr>
      <t xml:space="preserve"> 15 kA. at 415 V.AC.  </t>
    </r>
  </si>
  <si>
    <r>
      <t xml:space="preserve">- 20 AT. 3P. MCCB IC </t>
    </r>
    <r>
      <rPr>
        <u/>
        <sz val="14"/>
        <rFont val="TH Sarabun New"/>
        <family val="2"/>
      </rPr>
      <t>&gt;</t>
    </r>
    <r>
      <rPr>
        <sz val="14"/>
        <rFont val="TH Sarabun New"/>
        <family val="2"/>
      </rPr>
      <t xml:space="preserve"> 10 kA. at 415 V.AC.  </t>
    </r>
  </si>
  <si>
    <r>
      <t xml:space="preserve">- 50 AT. 3P. MCCB IC </t>
    </r>
    <r>
      <rPr>
        <u/>
        <sz val="14"/>
        <rFont val="TH Sarabun New"/>
        <family val="2"/>
      </rPr>
      <t>&gt;</t>
    </r>
    <r>
      <rPr>
        <sz val="14"/>
        <rFont val="TH Sarabun New"/>
        <family val="2"/>
      </rPr>
      <t xml:space="preserve"> 10 kA. at 415 V.AC. 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</si>
  <si>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50 mm.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</si>
  <si>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90 mm.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</si>
  <si>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3" </t>
    </r>
  </si>
  <si>
    <r>
      <t xml:space="preserve"> - หน้าแปลนเหล็ก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4" </t>
    </r>
  </si>
  <si>
    <r>
      <t xml:space="preserve"> - ประเก็นยาง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4" + น๊อต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</si>
  <si>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4"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</si>
  <si>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 1/2"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</si>
  <si>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 1/2"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</si>
  <si>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</si>
  <si>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6"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</si>
  <si>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2"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</si>
  <si>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4"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</si>
  <si>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6"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</si>
  <si>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5"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</si>
  <si>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1/2"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</si>
  <si>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1" </t>
    </r>
  </si>
  <si>
    <r>
      <t xml:space="preserve"> - AUTOMATIC RECESSED SWING HOSE REEL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1" x 100 FT</t>
    </r>
  </si>
  <si>
    <r>
      <t xml:space="preserve"> - HOSE REEL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1"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</si>
  <si>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 1/2"CAST BRSS ANGLE HOSE VALVE 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</si>
  <si>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 1/2" CAST BR ASS  INSTANTANEOUS COUPLING</t>
    </r>
  </si>
  <si>
    <r>
      <t xml:space="preserve"> - PLASTIC JET / SPRAY NOZZLE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1"</t>
    </r>
  </si>
  <si>
    <r>
      <t xml:space="preserve"> - </t>
    </r>
    <r>
      <rPr>
        <sz val="14"/>
        <rFont val="AngsanaUPC"/>
        <family val="1"/>
      </rPr>
      <t>Ø</t>
    </r>
    <r>
      <rPr>
        <sz val="14"/>
        <rFont val="TH Sarabun New"/>
        <family val="2"/>
      </rPr>
      <t xml:space="preserve"> 2 1 / 2" FIRE DEPARTMENT VALVE WITE QUICK COUPLN , CAP </t>
    </r>
  </si>
  <si>
    <r>
      <t xml:space="preserve"> - 500 KVA. 22 KV-400/230 V.AC .3ø</t>
    </r>
    <r>
      <rPr>
        <sz val="12.6"/>
        <rFont val="TH Sarabun New"/>
        <family val="2"/>
      </rPr>
      <t xml:space="preserve">-4W </t>
    </r>
    <r>
      <rPr>
        <sz val="14"/>
        <rFont val="TH Sarabun New"/>
        <family val="2"/>
      </rPr>
      <t xml:space="preserve"> 50 Hz. OIL - IMMSED </t>
    </r>
  </si>
  <si>
    <t xml:space="preserve">งานก่อสร้างอาคารพักประทวน ขนาด 64 ครอบครัว พร้อมระบบสาธารณูปโภคและสิ่งอำนวยความสะดวก </t>
  </si>
  <si>
    <t>คณะกรรมการกำหนดราคากลาง</t>
  </si>
  <si>
    <t>น.อ.</t>
  </si>
  <si>
    <t>น.ท.</t>
  </si>
  <si>
    <t>น.ต.</t>
  </si>
  <si>
    <t>ประธานกรรมการ</t>
  </si>
  <si>
    <t>กรรมการ</t>
  </si>
  <si>
    <t>กรรมการและเลขานุการ</t>
  </si>
  <si>
    <t>สมหมาย  แสวงกิจ</t>
  </si>
  <si>
    <t>จักรกฤษณ์  กุลศรีสมบัติ</t>
  </si>
  <si>
    <t>สมศักดิ์  อุนานุยา</t>
  </si>
  <si>
    <t>ธีรทัต  กงทอง</t>
  </si>
  <si>
    <t>ขวัญชัย  จันทร์ทอง</t>
  </si>
</sst>
</file>

<file path=xl/styles.xml><?xml version="1.0" encoding="utf-8"?>
<styleSheet xmlns="http://schemas.openxmlformats.org/spreadsheetml/2006/main">
  <numFmts count="18">
    <numFmt numFmtId="43" formatCode="_-* #,##0.00_-;\-* #,##0.00_-;_-* &quot;-&quot;??_-;_-@_-"/>
    <numFmt numFmtId="187" formatCode="_(* #,##0.00_);_(* \(#,##0.00\);_(* &quot;-&quot;??_);_(@_)"/>
    <numFmt numFmtId="188" formatCode="#,##0.\-"/>
    <numFmt numFmtId="189" formatCode="_(* #,##0_);_(* \(#,##0\);_(* &quot;-&quot;??_);_(@_)"/>
    <numFmt numFmtId="190" formatCode="_-* #,##0_-;\-* #,##0_-;_-* &quot;-&quot;??_-;_-@_-"/>
    <numFmt numFmtId="191" formatCode="0.0%"/>
    <numFmt numFmtId="192" formatCode="0.0000"/>
    <numFmt numFmtId="193" formatCode="#,##0.0000.\-"/>
    <numFmt numFmtId="194" formatCode="#,###.\-"/>
    <numFmt numFmtId="195" formatCode="0.000%"/>
    <numFmt numFmtId="196" formatCode="#,###\-"/>
    <numFmt numFmtId="197" formatCode="[$-107041E]\ mmmm\ yy;@"/>
    <numFmt numFmtId="198" formatCode="#,###\ &quot; แผ่น &quot;"/>
    <numFmt numFmtId="199" formatCode="&quot;แบบ ปร.4 และ ปร.5 ที่แนบ มีจำนวน    &quot;#,###&quot;    แผ่น &quot;"/>
    <numFmt numFmtId="200" formatCode="&quot;มีจำนวน &quot;#,###&quot; แผ่น&quot;"/>
    <numFmt numFmtId="201" formatCode="&quot;&gt; &quot;#,###"/>
    <numFmt numFmtId="202" formatCode="#,##0.000"/>
    <numFmt numFmtId="203" formatCode="#,##0.0"/>
  </numFmts>
  <fonts count="40">
    <font>
      <sz val="14"/>
      <name val="CordiaUPC"/>
    </font>
    <font>
      <sz val="14"/>
      <name val="CordiaUPC"/>
      <family val="2"/>
      <charset val="222"/>
    </font>
    <font>
      <sz val="14"/>
      <name val="Cordia New"/>
      <family val="2"/>
    </font>
    <font>
      <sz val="8"/>
      <name val="CordiaUPC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b/>
      <sz val="18"/>
      <name val="TH Sarabun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CordiaUPC"/>
      <family val="2"/>
    </font>
    <font>
      <sz val="16"/>
      <name val="CordiaUPC"/>
      <family val="2"/>
    </font>
    <font>
      <b/>
      <sz val="16"/>
      <color rgb="FF0000FF"/>
      <name val="CordiaUPC"/>
      <family val="2"/>
    </font>
    <font>
      <sz val="14"/>
      <name val="CordiaUPC"/>
      <family val="2"/>
    </font>
    <font>
      <sz val="14"/>
      <color rgb="FFFF0000"/>
      <name val="CordiaUPC"/>
      <family val="2"/>
    </font>
    <font>
      <sz val="14"/>
      <color rgb="FF0000FF"/>
      <name val="CordiaUPC"/>
      <family val="2"/>
    </font>
    <font>
      <b/>
      <sz val="18"/>
      <color rgb="FF0000FF"/>
      <name val="CordiaUPC"/>
      <family val="2"/>
    </font>
    <font>
      <b/>
      <sz val="14"/>
      <color rgb="FF0000FF"/>
      <name val="TH SarabunPSK"/>
      <family val="2"/>
    </font>
    <font>
      <b/>
      <sz val="16"/>
      <color rgb="FF0000FF"/>
      <name val="TH SarabunPSK"/>
      <family val="2"/>
    </font>
    <font>
      <b/>
      <sz val="14"/>
      <color theme="1"/>
      <name val="TH SarabunPSK"/>
      <family val="2"/>
    </font>
    <font>
      <sz val="14"/>
      <color rgb="FF0000FF"/>
      <name val="TH SarabunPSK"/>
      <family val="2"/>
    </font>
    <font>
      <sz val="14"/>
      <color theme="1"/>
      <name val="TH SarabunPSK"/>
      <family val="2"/>
    </font>
    <font>
      <b/>
      <sz val="14"/>
      <color rgb="FF0000FF"/>
      <name val="TH Sarabun New"/>
      <family val="2"/>
    </font>
    <font>
      <sz val="14"/>
      <color rgb="FF0000FF"/>
      <name val="TH Sarabun New"/>
      <family val="2"/>
    </font>
    <font>
      <b/>
      <sz val="9"/>
      <color indexed="81"/>
      <name val="Tahoma"/>
      <family val="2"/>
    </font>
    <font>
      <b/>
      <sz val="20"/>
      <color rgb="FF0000FF"/>
      <name val="CordiaUPC"/>
      <family val="2"/>
    </font>
    <font>
      <sz val="12"/>
      <color theme="3" tint="0.39997558519241921"/>
      <name val="CordiaUPC"/>
      <family val="2"/>
    </font>
    <font>
      <sz val="16"/>
      <name val="TH Sarabun New"/>
      <family val="2"/>
    </font>
    <font>
      <b/>
      <u/>
      <sz val="14"/>
      <name val="TH Sarabun New"/>
      <family val="2"/>
    </font>
    <font>
      <sz val="10"/>
      <name val="Arial"/>
      <family val="2"/>
    </font>
    <font>
      <sz val="14"/>
      <name val="AngsanaUPC"/>
      <family val="1"/>
    </font>
    <font>
      <vertAlign val="superscript"/>
      <sz val="14"/>
      <name val="TH Sarabun New"/>
      <family val="2"/>
    </font>
    <font>
      <sz val="14"/>
      <name val="Symbol"/>
      <family val="1"/>
      <charset val="2"/>
    </font>
    <font>
      <sz val="13"/>
      <name val="TH Sarabun New"/>
      <family val="2"/>
    </font>
    <font>
      <u/>
      <sz val="13"/>
      <name val="TH Sarabun New"/>
      <family val="2"/>
    </font>
    <font>
      <u/>
      <sz val="14"/>
      <name val="TH Sarabun New"/>
      <family val="2"/>
    </font>
    <font>
      <sz val="12.6"/>
      <name val="TH Sarabun Ne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AFEE9"/>
        <bgColor indexed="64"/>
      </patternFill>
    </fill>
    <fill>
      <patternFill patternType="solid">
        <fgColor rgb="FFFCE3E0"/>
        <bgColor indexed="64"/>
      </patternFill>
    </fill>
    <fill>
      <patternFill patternType="solid">
        <fgColor rgb="FFBAFBB7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/>
      <bottom style="thick">
        <color rgb="FF0099FF"/>
      </bottom>
      <diagonal/>
    </border>
    <border>
      <left/>
      <right/>
      <top/>
      <bottom style="thick">
        <color rgb="FF0099FF"/>
      </bottom>
      <diagonal/>
    </border>
    <border>
      <left/>
      <right style="thick">
        <color rgb="FF0099FF"/>
      </right>
      <top/>
      <bottom style="thick">
        <color rgb="FF0099FF"/>
      </bottom>
      <diagonal/>
    </border>
    <border>
      <left style="thick">
        <color rgb="FF0099FF"/>
      </left>
      <right/>
      <top style="thick">
        <color rgb="FF0099FF"/>
      </top>
      <bottom style="thick">
        <color rgb="FF0099FF"/>
      </bottom>
      <diagonal/>
    </border>
    <border>
      <left/>
      <right/>
      <top style="thick">
        <color rgb="FF0099FF"/>
      </top>
      <bottom style="thick">
        <color rgb="FF0099FF"/>
      </bottom>
      <diagonal/>
    </border>
    <border>
      <left/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n">
        <color indexed="64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99FF"/>
      </bottom>
      <diagonal/>
    </border>
    <border>
      <left/>
      <right/>
      <top style="hair">
        <color indexed="64"/>
      </top>
      <bottom style="medium">
        <color theme="1" tint="0.34998626667073579"/>
      </bottom>
      <diagonal/>
    </border>
    <border>
      <left/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ck">
        <color rgb="FF0099FF"/>
      </left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34998626667073579"/>
      </bottom>
      <diagonal/>
    </border>
    <border>
      <left/>
      <right/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 style="thin">
        <color indexed="64"/>
      </top>
      <bottom style="thin">
        <color indexed="64"/>
      </bottom>
      <diagonal/>
    </border>
    <border>
      <left style="thick">
        <color rgb="FF0099FF"/>
      </left>
      <right/>
      <top style="thin">
        <color indexed="64"/>
      </top>
      <bottom style="thick">
        <color rgb="FF0099FF"/>
      </bottom>
      <diagonal/>
    </border>
    <border>
      <left style="thin">
        <color indexed="64"/>
      </left>
      <right/>
      <top style="thin">
        <color indexed="64"/>
      </top>
      <bottom style="thick">
        <color rgb="FF0099FF"/>
      </bottom>
      <diagonal/>
    </border>
    <border>
      <left/>
      <right style="thin">
        <color indexed="64"/>
      </right>
      <top style="thick">
        <color rgb="FF0099FF"/>
      </top>
      <bottom/>
      <diagonal/>
    </border>
    <border>
      <left/>
      <right/>
      <top style="thick">
        <color rgb="FF0099FF"/>
      </top>
      <bottom/>
      <diagonal/>
    </border>
    <border>
      <left style="thin">
        <color indexed="64"/>
      </left>
      <right/>
      <top style="thick">
        <color rgb="FF0099FF"/>
      </top>
      <bottom/>
      <diagonal/>
    </border>
    <border>
      <left/>
      <right style="thick">
        <color rgb="FF0099FF"/>
      </right>
      <top style="thick">
        <color rgb="FF0099FF"/>
      </top>
      <bottom/>
      <diagonal/>
    </border>
    <border>
      <left style="thick">
        <color rgb="FF0099FF"/>
      </left>
      <right/>
      <top/>
      <bottom style="thin">
        <color indexed="64"/>
      </bottom>
      <diagonal/>
    </border>
    <border>
      <left/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/>
      <top style="thick">
        <color rgb="FF0099FF"/>
      </top>
      <bottom style="thin">
        <color indexed="64"/>
      </bottom>
      <diagonal/>
    </border>
    <border>
      <left/>
      <right/>
      <top style="thick">
        <color rgb="FF0099FF"/>
      </top>
      <bottom style="thin">
        <color indexed="64"/>
      </bottom>
      <diagonal/>
    </border>
    <border>
      <left/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3" fillId="0" borderId="0"/>
    <xf numFmtId="43" fontId="32" fillId="0" borderId="0" applyFont="0" applyFill="0" applyBorder="0" applyAlignment="0" applyProtection="0"/>
    <xf numFmtId="187" fontId="13" fillId="0" borderId="0" applyFont="0" applyFill="0" applyBorder="0" applyAlignment="0" applyProtection="0"/>
  </cellStyleXfs>
  <cellXfs count="679">
    <xf numFmtId="0" fontId="0" fillId="0" borderId="0" xfId="0"/>
    <xf numFmtId="0" fontId="6" fillId="0" borderId="0" xfId="0" applyFont="1" applyAlignment="1">
      <alignment vertical="center"/>
    </xf>
    <xf numFmtId="188" fontId="6" fillId="0" borderId="0" xfId="1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/>
    <xf numFmtId="0" fontId="4" fillId="0" borderId="0" xfId="0" applyFont="1"/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189" fontId="6" fillId="0" borderId="3" xfId="1" applyNumberFormat="1" applyFont="1" applyBorder="1" applyAlignment="1">
      <alignment horizontal="center" vertical="center"/>
    </xf>
    <xf numFmtId="194" fontId="6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94" fontId="6" fillId="8" borderId="1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94" fontId="6" fillId="8" borderId="6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94" fontId="6" fillId="8" borderId="3" xfId="1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188" fontId="4" fillId="0" borderId="3" xfId="1" applyNumberFormat="1" applyFont="1" applyFill="1" applyBorder="1"/>
    <xf numFmtId="188" fontId="4" fillId="0" borderId="3" xfId="1" applyNumberFormat="1" applyFont="1" applyFill="1" applyBorder="1" applyAlignment="1">
      <alignment horizontal="right"/>
    </xf>
    <xf numFmtId="189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89" fontId="0" fillId="0" borderId="0" xfId="1" applyNumberFormat="1" applyFont="1"/>
    <xf numFmtId="189" fontId="0" fillId="0" borderId="0" xfId="0" applyNumberFormat="1"/>
    <xf numFmtId="195" fontId="0" fillId="0" borderId="0" xfId="6" applyNumberFormat="1" applyFont="1"/>
    <xf numFmtId="195" fontId="17" fillId="0" borderId="0" xfId="6" applyNumberFormat="1" applyFont="1"/>
    <xf numFmtId="9" fontId="18" fillId="0" borderId="0" xfId="6" applyFont="1"/>
    <xf numFmtId="191" fontId="19" fillId="8" borderId="0" xfId="0" applyNumberFormat="1" applyFont="1" applyFill="1"/>
    <xf numFmtId="189" fontId="0" fillId="8" borderId="0" xfId="1" applyNumberFormat="1" applyFont="1" applyFill="1"/>
    <xf numFmtId="3" fontId="4" fillId="0" borderId="3" xfId="0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11" fillId="0" borderId="0" xfId="0" applyFont="1" applyFill="1" applyAlignment="1">
      <alignment vertical="center"/>
    </xf>
    <xf numFmtId="0" fontId="20" fillId="0" borderId="3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22" fillId="0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22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189" fontId="5" fillId="0" borderId="15" xfId="1" applyNumberFormat="1" applyFont="1" applyFill="1" applyBorder="1" applyAlignment="1">
      <alignment vertical="center"/>
    </xf>
    <xf numFmtId="188" fontId="4" fillId="0" borderId="15" xfId="1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23" fillId="0" borderId="29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88" fontId="5" fillId="0" borderId="25" xfId="1" applyNumberFormat="1" applyFont="1" applyFill="1" applyBorder="1" applyAlignment="1">
      <alignment horizontal="center" vertical="center"/>
    </xf>
    <xf numFmtId="189" fontId="5" fillId="0" borderId="30" xfId="1" applyNumberFormat="1" applyFont="1" applyFill="1" applyBorder="1" applyAlignment="1">
      <alignment horizontal="center" vertical="center"/>
    </xf>
    <xf numFmtId="188" fontId="10" fillId="8" borderId="3" xfId="1" applyNumberFormat="1" applyFont="1" applyFill="1" applyBorder="1"/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3" fontId="8" fillId="8" borderId="1" xfId="0" applyNumberFormat="1" applyFont="1" applyFill="1" applyBorder="1" applyAlignment="1">
      <alignment vertical="center"/>
    </xf>
    <xf numFmtId="3" fontId="8" fillId="8" borderId="5" xfId="0" applyNumberFormat="1" applyFont="1" applyFill="1" applyBorder="1" applyAlignment="1">
      <alignment vertical="center"/>
    </xf>
    <xf numFmtId="3" fontId="6" fillId="8" borderId="1" xfId="0" applyNumberFormat="1" applyFont="1" applyFill="1" applyBorder="1" applyAlignment="1">
      <alignment vertical="center"/>
    </xf>
    <xf numFmtId="3" fontId="6" fillId="8" borderId="5" xfId="0" applyNumberFormat="1" applyFont="1" applyFill="1" applyBorder="1" applyAlignment="1">
      <alignment vertical="center"/>
    </xf>
    <xf numFmtId="0" fontId="6" fillId="8" borderId="1" xfId="0" quotePrefix="1" applyFont="1" applyFill="1" applyBorder="1" applyAlignment="1">
      <alignment vertical="center"/>
    </xf>
    <xf numFmtId="0" fontId="6" fillId="8" borderId="5" xfId="0" quotePrefix="1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/>
    </xf>
    <xf numFmtId="0" fontId="14" fillId="4" borderId="51" xfId="0" applyFont="1" applyFill="1" applyBorder="1" applyAlignment="1">
      <alignment horizontal="center" vertical="center"/>
    </xf>
    <xf numFmtId="201" fontId="14" fillId="4" borderId="43" xfId="0" applyNumberFormat="1" applyFont="1" applyFill="1" applyBorder="1" applyAlignment="1">
      <alignment horizontal="center" vertical="center"/>
    </xf>
    <xf numFmtId="9" fontId="15" fillId="8" borderId="36" xfId="5" applyFont="1" applyFill="1" applyBorder="1" applyAlignment="1">
      <alignment horizontal="center" vertical="center"/>
    </xf>
    <xf numFmtId="9" fontId="15" fillId="8" borderId="10" xfId="5" applyFont="1" applyFill="1" applyBorder="1" applyAlignment="1">
      <alignment horizontal="center" vertical="center"/>
    </xf>
    <xf numFmtId="9" fontId="15" fillId="8" borderId="37" xfId="5" applyFont="1" applyFill="1" applyBorder="1" applyAlignment="1">
      <alignment horizontal="center" vertical="center"/>
    </xf>
    <xf numFmtId="0" fontId="14" fillId="10" borderId="35" xfId="0" applyFont="1" applyFill="1" applyBorder="1" applyAlignment="1">
      <alignment horizontal="center" vertical="center"/>
    </xf>
    <xf numFmtId="192" fontId="14" fillId="11" borderId="38" xfId="0" applyNumberFormat="1" applyFont="1" applyFill="1" applyBorder="1" applyAlignment="1">
      <alignment horizontal="center" vertical="center"/>
    </xf>
    <xf numFmtId="192" fontId="14" fillId="12" borderId="3" xfId="0" applyNumberFormat="1" applyFont="1" applyFill="1" applyBorder="1" applyAlignment="1">
      <alignment horizontal="center" vertical="center"/>
    </xf>
    <xf numFmtId="192" fontId="14" fillId="13" borderId="3" xfId="0" applyNumberFormat="1" applyFont="1" applyFill="1" applyBorder="1" applyAlignment="1">
      <alignment horizontal="center" vertical="center"/>
    </xf>
    <xf numFmtId="192" fontId="14" fillId="13" borderId="41" xfId="0" applyNumberFormat="1" applyFont="1" applyFill="1" applyBorder="1" applyAlignment="1">
      <alignment horizontal="center" vertical="center"/>
    </xf>
    <xf numFmtId="192" fontId="14" fillId="14" borderId="39" xfId="0" applyNumberFormat="1" applyFont="1" applyFill="1" applyBorder="1" applyAlignment="1">
      <alignment horizontal="center" vertical="center"/>
    </xf>
    <xf numFmtId="0" fontId="14" fillId="14" borderId="42" xfId="0" applyFont="1" applyFill="1" applyBorder="1" applyAlignment="1">
      <alignment horizontal="center" vertical="center"/>
    </xf>
    <xf numFmtId="9" fontId="15" fillId="8" borderId="12" xfId="5" applyFont="1" applyFill="1" applyBorder="1" applyAlignment="1">
      <alignment horizontal="center" vertical="center"/>
    </xf>
    <xf numFmtId="192" fontId="14" fillId="12" borderId="5" xfId="0" applyNumberFormat="1" applyFont="1" applyFill="1" applyBorder="1" applyAlignment="1">
      <alignment horizontal="center" vertical="center"/>
    </xf>
    <xf numFmtId="9" fontId="15" fillId="8" borderId="50" xfId="5" applyFont="1" applyFill="1" applyBorder="1" applyAlignment="1">
      <alignment horizontal="center" vertical="center"/>
    </xf>
    <xf numFmtId="192" fontId="14" fillId="11" borderId="5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92" fontId="14" fillId="11" borderId="40" xfId="0" applyNumberFormat="1" applyFont="1" applyFill="1" applyBorder="1" applyAlignment="1">
      <alignment horizontal="center" vertical="center"/>
    </xf>
    <xf numFmtId="192" fontId="14" fillId="12" borderId="41" xfId="0" applyNumberFormat="1" applyFont="1" applyFill="1" applyBorder="1" applyAlignment="1">
      <alignment horizontal="center" vertical="center"/>
    </xf>
    <xf numFmtId="192" fontId="14" fillId="11" borderId="43" xfId="0" applyNumberFormat="1" applyFont="1" applyFill="1" applyBorder="1" applyAlignment="1">
      <alignment horizontal="center" vertical="center"/>
    </xf>
    <xf numFmtId="192" fontId="14" fillId="12" borderId="52" xfId="0" applyNumberFormat="1" applyFont="1" applyFill="1" applyBorder="1" applyAlignment="1">
      <alignment horizontal="center" vertical="center"/>
    </xf>
    <xf numFmtId="192" fontId="14" fillId="14" borderId="42" xfId="0" applyNumberFormat="1" applyFont="1" applyFill="1" applyBorder="1" applyAlignment="1">
      <alignment horizontal="center" vertical="center"/>
    </xf>
    <xf numFmtId="9" fontId="15" fillId="8" borderId="55" xfId="5" applyFont="1" applyFill="1" applyBorder="1" applyAlignment="1">
      <alignment horizontal="center" vertical="center"/>
    </xf>
    <xf numFmtId="9" fontId="28" fillId="8" borderId="47" xfId="6" applyFont="1" applyFill="1" applyBorder="1" applyAlignment="1">
      <alignment vertical="center"/>
    </xf>
    <xf numFmtId="9" fontId="28" fillId="8" borderId="48" xfId="6" applyFont="1" applyFill="1" applyBorder="1" applyAlignment="1">
      <alignment vertical="center"/>
    </xf>
    <xf numFmtId="9" fontId="28" fillId="8" borderId="49" xfId="6" applyFont="1" applyFill="1" applyBorder="1" applyAlignment="1">
      <alignment vertical="center"/>
    </xf>
    <xf numFmtId="9" fontId="15" fillId="8" borderId="47" xfId="6" applyFont="1" applyFill="1" applyBorder="1" applyAlignment="1">
      <alignment vertical="center"/>
    </xf>
    <xf numFmtId="9" fontId="15" fillId="8" borderId="48" xfId="6" applyFont="1" applyFill="1" applyBorder="1" applyAlignment="1">
      <alignment vertical="center"/>
    </xf>
    <xf numFmtId="9" fontId="15" fillId="8" borderId="49" xfId="6" applyFont="1" applyFill="1" applyBorder="1" applyAlignment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24" fillId="0" borderId="29" xfId="0" applyFont="1" applyFill="1" applyBorder="1" applyAlignment="1">
      <alignment horizontal="left" vertical="center"/>
    </xf>
    <xf numFmtId="0" fontId="23" fillId="0" borderId="29" xfId="0" applyFont="1" applyFill="1" applyBorder="1" applyAlignment="1">
      <alignment horizontal="left" vertical="center"/>
    </xf>
    <xf numFmtId="0" fontId="6" fillId="0" borderId="57" xfId="0" applyFont="1" applyBorder="1" applyAlignment="1" applyProtection="1">
      <alignment vertical="center"/>
    </xf>
    <xf numFmtId="0" fontId="14" fillId="8" borderId="45" xfId="0" applyFont="1" applyFill="1" applyBorder="1" applyAlignment="1">
      <alignment horizontal="center" vertical="center"/>
    </xf>
    <xf numFmtId="9" fontId="28" fillId="8" borderId="48" xfId="6" applyFont="1" applyFill="1" applyBorder="1" applyAlignment="1">
      <alignment horizontal="center" vertical="center"/>
    </xf>
    <xf numFmtId="0" fontId="14" fillId="8" borderId="45" xfId="0" applyFont="1" applyFill="1" applyBorder="1" applyAlignment="1">
      <alignment horizontal="center" vertical="center"/>
    </xf>
    <xf numFmtId="0" fontId="14" fillId="8" borderId="46" xfId="0" applyFont="1" applyFill="1" applyBorder="1" applyAlignment="1">
      <alignment horizontal="center" vertical="center"/>
    </xf>
    <xf numFmtId="9" fontId="28" fillId="8" borderId="48" xfId="6" applyFont="1" applyFill="1" applyBorder="1" applyAlignment="1">
      <alignment horizontal="center" vertical="center"/>
    </xf>
    <xf numFmtId="9" fontId="28" fillId="8" borderId="49" xfId="6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left" vertical="center"/>
    </xf>
    <xf numFmtId="192" fontId="14" fillId="11" borderId="62" xfId="0" applyNumberFormat="1" applyFont="1" applyFill="1" applyBorder="1" applyAlignment="1">
      <alignment horizontal="center" vertical="center"/>
    </xf>
    <xf numFmtId="192" fontId="14" fillId="11" borderId="63" xfId="0" applyNumberFormat="1" applyFont="1" applyFill="1" applyBorder="1" applyAlignment="1">
      <alignment horizontal="center" vertical="center"/>
    </xf>
    <xf numFmtId="192" fontId="14" fillId="11" borderId="3" xfId="0" applyNumberFormat="1" applyFont="1" applyFill="1" applyBorder="1" applyAlignment="1">
      <alignment horizontal="center" vertical="center"/>
    </xf>
    <xf numFmtId="192" fontId="14" fillId="11" borderId="41" xfId="0" applyNumberFormat="1" applyFont="1" applyFill="1" applyBorder="1" applyAlignment="1">
      <alignment horizontal="center" vertical="center"/>
    </xf>
    <xf numFmtId="192" fontId="14" fillId="13" borderId="6" xfId="0" applyNumberFormat="1" applyFont="1" applyFill="1" applyBorder="1" applyAlignment="1">
      <alignment horizontal="center" vertical="center"/>
    </xf>
    <xf numFmtId="192" fontId="14" fillId="13" borderId="64" xfId="0" applyNumberFormat="1" applyFont="1" applyFill="1" applyBorder="1" applyAlignment="1">
      <alignment horizontal="center" vertical="center"/>
    </xf>
    <xf numFmtId="192" fontId="14" fillId="14" borderId="1" xfId="0" applyNumberFormat="1" applyFont="1" applyFill="1" applyBorder="1" applyAlignment="1">
      <alignment horizontal="center" vertical="center"/>
    </xf>
    <xf numFmtId="192" fontId="14" fillId="14" borderId="61" xfId="0" applyNumberFormat="1" applyFont="1" applyFill="1" applyBorder="1" applyAlignment="1">
      <alignment horizontal="center" vertical="center"/>
    </xf>
    <xf numFmtId="192" fontId="14" fillId="14" borderId="3" xfId="0" applyNumberFormat="1" applyFont="1" applyFill="1" applyBorder="1" applyAlignment="1">
      <alignment horizontal="center" vertical="center"/>
    </xf>
    <xf numFmtId="192" fontId="14" fillId="14" borderId="41" xfId="0" applyNumberFormat="1" applyFont="1" applyFill="1" applyBorder="1" applyAlignment="1">
      <alignment horizontal="center" vertical="center"/>
    </xf>
    <xf numFmtId="192" fontId="14" fillId="11" borderId="69" xfId="0" applyNumberFormat="1" applyFont="1" applyFill="1" applyBorder="1" applyAlignment="1">
      <alignment horizontal="center" vertical="center"/>
    </xf>
    <xf numFmtId="192" fontId="14" fillId="11" borderId="10" xfId="0" applyNumberFormat="1" applyFont="1" applyFill="1" applyBorder="1" applyAlignment="1">
      <alignment horizontal="center" vertical="center"/>
    </xf>
    <xf numFmtId="192" fontId="14" fillId="12" borderId="12" xfId="0" applyNumberFormat="1" applyFont="1" applyFill="1" applyBorder="1" applyAlignment="1">
      <alignment horizontal="center" vertical="center"/>
    </xf>
    <xf numFmtId="192" fontId="14" fillId="13" borderId="10" xfId="0" applyNumberFormat="1" applyFont="1" applyFill="1" applyBorder="1" applyAlignment="1">
      <alignment horizontal="center" vertical="center"/>
    </xf>
    <xf numFmtId="192" fontId="14" fillId="13" borderId="11" xfId="0" applyNumberFormat="1" applyFont="1" applyFill="1" applyBorder="1" applyAlignment="1">
      <alignment horizontal="center" vertical="center"/>
    </xf>
    <xf numFmtId="192" fontId="14" fillId="14" borderId="10" xfId="0" applyNumberFormat="1" applyFont="1" applyFill="1" applyBorder="1" applyAlignment="1">
      <alignment horizontal="center" vertical="center"/>
    </xf>
    <xf numFmtId="192" fontId="14" fillId="14" borderId="2" xfId="0" applyNumberFormat="1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9" fontId="15" fillId="8" borderId="3" xfId="5" applyFont="1" applyFill="1" applyBorder="1" applyAlignment="1">
      <alignment horizontal="center" vertical="center"/>
    </xf>
    <xf numFmtId="9" fontId="15" fillId="8" borderId="5" xfId="5" applyFont="1" applyFill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11" borderId="77" xfId="0" applyFont="1" applyFill="1" applyBorder="1" applyAlignment="1">
      <alignment horizontal="left" vertical="center"/>
    </xf>
    <xf numFmtId="0" fontId="14" fillId="11" borderId="0" xfId="0" applyFont="1" applyFill="1" applyBorder="1" applyAlignment="1">
      <alignment horizontal="center" vertical="center"/>
    </xf>
    <xf numFmtId="0" fontId="14" fillId="11" borderId="0" xfId="0" applyFont="1" applyFill="1" applyBorder="1" applyAlignment="1">
      <alignment horizontal="left" vertical="center"/>
    </xf>
    <xf numFmtId="0" fontId="14" fillId="11" borderId="78" xfId="0" applyFont="1" applyFill="1" applyBorder="1" applyAlignment="1">
      <alignment horizontal="center" vertical="center"/>
    </xf>
    <xf numFmtId="0" fontId="14" fillId="8" borderId="79" xfId="0" applyFont="1" applyFill="1" applyBorder="1" applyAlignment="1">
      <alignment horizontal="left" vertical="center"/>
    </xf>
    <xf numFmtId="0" fontId="14" fillId="8" borderId="80" xfId="0" applyFont="1" applyFill="1" applyBorder="1" applyAlignment="1">
      <alignment horizontal="center" vertical="center"/>
    </xf>
    <xf numFmtId="0" fontId="14" fillId="8" borderId="80" xfId="0" applyFont="1" applyFill="1" applyBorder="1" applyAlignment="1">
      <alignment horizontal="left" vertical="center"/>
    </xf>
    <xf numFmtId="0" fontId="14" fillId="8" borderId="81" xfId="0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horizontal="center" vertical="center"/>
    </xf>
    <xf numFmtId="9" fontId="15" fillId="8" borderId="39" xfId="5" applyFont="1" applyFill="1" applyBorder="1" applyAlignment="1">
      <alignment horizontal="center" vertical="center"/>
    </xf>
    <xf numFmtId="192" fontId="14" fillId="11" borderId="2" xfId="0" applyNumberFormat="1" applyFont="1" applyFill="1" applyBorder="1" applyAlignment="1">
      <alignment horizontal="center" vertical="center"/>
    </xf>
    <xf numFmtId="192" fontId="14" fillId="14" borderId="37" xfId="0" applyNumberFormat="1" applyFont="1" applyFill="1" applyBorder="1" applyAlignment="1">
      <alignment horizontal="center" vertical="center"/>
    </xf>
    <xf numFmtId="9" fontId="15" fillId="8" borderId="82" xfId="5" applyFont="1" applyFill="1" applyBorder="1" applyAlignment="1">
      <alignment horizontal="center" vertical="center"/>
    </xf>
    <xf numFmtId="192" fontId="14" fillId="14" borderId="70" xfId="0" applyNumberFormat="1" applyFont="1" applyFill="1" applyBorder="1" applyAlignment="1">
      <alignment horizontal="center" vertical="center"/>
    </xf>
    <xf numFmtId="192" fontId="14" fillId="14" borderId="8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88" fontId="6" fillId="0" borderId="31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188" fontId="6" fillId="0" borderId="8" xfId="1" applyNumberFormat="1" applyFont="1" applyBorder="1" applyAlignment="1">
      <alignment horizontal="right" vertical="center"/>
    </xf>
    <xf numFmtId="188" fontId="6" fillId="0" borderId="8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189" fontId="6" fillId="2" borderId="9" xfId="1" applyNumberFormat="1" applyFont="1" applyFill="1" applyBorder="1" applyAlignment="1">
      <alignment horizontal="center" vertical="center"/>
    </xf>
    <xf numFmtId="189" fontId="6" fillId="0" borderId="9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88" fontId="6" fillId="0" borderId="7" xfId="1" applyNumberFormat="1" applyFont="1" applyBorder="1" applyAlignment="1">
      <alignment vertical="center"/>
    </xf>
    <xf numFmtId="188" fontId="6" fillId="0" borderId="0" xfId="0" applyNumberFormat="1" applyFont="1" applyAlignment="1">
      <alignment vertical="center"/>
    </xf>
    <xf numFmtId="0" fontId="6" fillId="0" borderId="6" xfId="0" quotePrefix="1" applyFont="1" applyBorder="1" applyAlignment="1">
      <alignment horizontal="center" vertical="center"/>
    </xf>
    <xf numFmtId="188" fontId="8" fillId="0" borderId="1" xfId="1" applyNumberFormat="1" applyFont="1" applyBorder="1" applyAlignment="1">
      <alignment vertical="center"/>
    </xf>
    <xf numFmtId="188" fontId="6" fillId="0" borderId="5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88" fontId="6" fillId="0" borderId="0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4" xfId="3" applyFont="1" applyBorder="1" applyAlignment="1">
      <alignment horizontal="left" vertical="center"/>
    </xf>
    <xf numFmtId="0" fontId="6" fillId="0" borderId="4" xfId="3" applyFont="1" applyBorder="1" applyAlignment="1">
      <alignment horizontal="right" vertical="center"/>
    </xf>
    <xf numFmtId="0" fontId="6" fillId="0" borderId="0" xfId="3" applyFont="1" applyAlignment="1">
      <alignment vertical="center"/>
    </xf>
    <xf numFmtId="0" fontId="6" fillId="0" borderId="1" xfId="0" applyFont="1" applyFill="1" applyBorder="1" applyAlignment="1">
      <alignment vertical="center"/>
    </xf>
    <xf numFmtId="188" fontId="6" fillId="0" borderId="1" xfId="1" applyNumberFormat="1" applyFont="1" applyBorder="1" applyAlignment="1">
      <alignment vertical="center"/>
    </xf>
    <xf numFmtId="0" fontId="6" fillId="0" borderId="14" xfId="3" applyFont="1" applyBorder="1" applyAlignment="1" applyProtection="1">
      <alignment horizontal="center" vertical="center"/>
      <protection locked="0"/>
    </xf>
    <xf numFmtId="0" fontId="6" fillId="0" borderId="19" xfId="3" applyFont="1" applyBorder="1" applyAlignment="1">
      <alignment vertical="center"/>
    </xf>
    <xf numFmtId="0" fontId="6" fillId="0" borderId="21" xfId="3" applyFont="1" applyBorder="1" applyAlignment="1">
      <alignment vertical="center"/>
    </xf>
    <xf numFmtId="0" fontId="6" fillId="0" borderId="17" xfId="3" applyFont="1" applyBorder="1" applyAlignment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Alignment="1">
      <alignment vertical="center" wrapText="1"/>
    </xf>
    <xf numFmtId="0" fontId="6" fillId="0" borderId="8" xfId="3" applyFont="1" applyBorder="1" applyAlignment="1">
      <alignment horizontal="center" vertical="center"/>
    </xf>
    <xf numFmtId="192" fontId="6" fillId="0" borderId="8" xfId="3" applyNumberFormat="1" applyFont="1" applyBorder="1" applyAlignment="1">
      <alignment horizontal="center" vertical="center"/>
    </xf>
    <xf numFmtId="190" fontId="6" fillId="2" borderId="8" xfId="0" applyNumberFormat="1" applyFont="1" applyFill="1" applyBorder="1" applyAlignment="1">
      <alignment horizontal="center" vertical="center"/>
    </xf>
    <xf numFmtId="0" fontId="6" fillId="0" borderId="8" xfId="3" applyFont="1" applyBorder="1" applyAlignment="1">
      <alignment vertical="center"/>
    </xf>
    <xf numFmtId="0" fontId="6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30" xfId="0" applyFont="1" applyBorder="1" applyAlignment="1" applyProtection="1">
      <alignment horizontal="center" vertical="center"/>
    </xf>
    <xf numFmtId="9" fontId="6" fillId="0" borderId="3" xfId="0" applyNumberFormat="1" applyFont="1" applyBorder="1" applyAlignment="1" applyProtection="1">
      <alignment horizontal="center" vertical="center"/>
    </xf>
    <xf numFmtId="9" fontId="6" fillId="0" borderId="30" xfId="0" applyNumberFormat="1" applyFont="1" applyBorder="1" applyAlignment="1" applyProtection="1">
      <alignment horizontal="center" vertical="center"/>
    </xf>
    <xf numFmtId="0" fontId="6" fillId="0" borderId="30" xfId="0" applyFont="1" applyBorder="1" applyAlignment="1">
      <alignment vertical="center"/>
    </xf>
    <xf numFmtId="192" fontId="6" fillId="0" borderId="56" xfId="0" applyNumberFormat="1" applyFont="1" applyBorder="1" applyAlignment="1" applyProtection="1">
      <alignment horizontal="center" vertical="center"/>
    </xf>
    <xf numFmtId="192" fontId="6" fillId="0" borderId="4" xfId="0" applyNumberFormat="1" applyFont="1" applyBorder="1" applyAlignment="1" applyProtection="1">
      <alignment horizontal="center" vertical="center"/>
    </xf>
    <xf numFmtId="192" fontId="6" fillId="0" borderId="32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92" fontId="6" fillId="0" borderId="11" xfId="0" applyNumberFormat="1" applyFont="1" applyBorder="1" applyAlignment="1" applyProtection="1">
      <alignment horizontal="center" vertical="center"/>
    </xf>
    <xf numFmtId="192" fontId="6" fillId="0" borderId="2" xfId="0" applyNumberFormat="1" applyFont="1" applyBorder="1" applyAlignment="1" applyProtection="1">
      <alignment horizontal="center" vertical="center"/>
    </xf>
    <xf numFmtId="192" fontId="6" fillId="0" borderId="12" xfId="0" applyNumberFormat="1" applyFont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89" fontId="6" fillId="2" borderId="3" xfId="2" applyNumberFormat="1" applyFont="1" applyFill="1" applyBorder="1" applyAlignment="1">
      <alignment vertical="center"/>
    </xf>
    <xf numFmtId="0" fontId="6" fillId="0" borderId="0" xfId="3" applyFont="1" applyBorder="1" applyAlignment="1">
      <alignment vertical="center"/>
    </xf>
    <xf numFmtId="192" fontId="8" fillId="0" borderId="0" xfId="0" applyNumberFormat="1" applyFont="1" applyAlignment="1">
      <alignment vertical="center"/>
    </xf>
    <xf numFmtId="0" fontId="8" fillId="0" borderId="0" xfId="3" applyFont="1" applyBorder="1" applyAlignment="1">
      <alignment horizontal="left" vertical="center"/>
    </xf>
    <xf numFmtId="0" fontId="8" fillId="0" borderId="0" xfId="3" applyFont="1" applyBorder="1" applyAlignment="1">
      <alignment vertical="center"/>
    </xf>
    <xf numFmtId="188" fontId="8" fillId="0" borderId="0" xfId="1" applyNumberFormat="1" applyFont="1" applyAlignment="1">
      <alignment horizontal="right" vertical="center"/>
    </xf>
    <xf numFmtId="188" fontId="8" fillId="0" borderId="0" xfId="1" applyNumberFormat="1" applyFont="1" applyAlignment="1">
      <alignment vertical="center"/>
    </xf>
    <xf numFmtId="0" fontId="8" fillId="0" borderId="0" xfId="3" applyFont="1" applyBorder="1" applyAlignment="1">
      <alignment horizontal="centerContinuous" vertical="center"/>
    </xf>
    <xf numFmtId="0" fontId="6" fillId="0" borderId="27" xfId="0" applyFont="1" applyBorder="1" applyAlignment="1">
      <alignment horizontal="left" vertical="center"/>
    </xf>
    <xf numFmtId="0" fontId="6" fillId="0" borderId="28" xfId="0" quotePrefix="1" applyFont="1" applyBorder="1" applyAlignment="1">
      <alignment horizontal="center" vertical="center"/>
    </xf>
    <xf numFmtId="0" fontId="6" fillId="0" borderId="26" xfId="0" quotePrefix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3" applyFont="1" applyBorder="1" applyAlignment="1">
      <alignment horizontal="center" vertical="center"/>
    </xf>
    <xf numFmtId="0" fontId="6" fillId="0" borderId="26" xfId="3" applyFont="1" applyBorder="1" applyAlignment="1">
      <alignment horizontal="center" vertical="center"/>
    </xf>
    <xf numFmtId="0" fontId="6" fillId="0" borderId="22" xfId="3" applyFont="1" applyBorder="1" applyAlignment="1">
      <alignment horizontal="center" vertical="center"/>
    </xf>
    <xf numFmtId="0" fontId="6" fillId="0" borderId="58" xfId="3" applyFont="1" applyBorder="1" applyAlignment="1">
      <alignment vertical="center"/>
    </xf>
    <xf numFmtId="0" fontId="6" fillId="0" borderId="60" xfId="3" applyFont="1" applyBorder="1" applyAlignment="1">
      <alignment vertical="center"/>
    </xf>
    <xf numFmtId="0" fontId="6" fillId="0" borderId="53" xfId="3" applyFont="1" applyBorder="1" applyAlignment="1">
      <alignment vertical="center"/>
    </xf>
    <xf numFmtId="0" fontId="6" fillId="0" borderId="54" xfId="3" applyFont="1" applyBorder="1" applyAlignment="1">
      <alignment vertical="center"/>
    </xf>
    <xf numFmtId="0" fontId="6" fillId="0" borderId="58" xfId="3" applyFont="1" applyBorder="1" applyAlignment="1">
      <alignment horizontal="center" vertical="center"/>
    </xf>
    <xf numFmtId="9" fontId="6" fillId="2" borderId="58" xfId="3" applyNumberFormat="1" applyFont="1" applyFill="1" applyBorder="1" applyAlignment="1">
      <alignment horizontal="center" vertical="center"/>
    </xf>
    <xf numFmtId="191" fontId="6" fillId="0" borderId="58" xfId="3" applyNumberFormat="1" applyFont="1" applyBorder="1" applyAlignment="1">
      <alignment horizontal="right" vertical="center"/>
    </xf>
    <xf numFmtId="189" fontId="6" fillId="0" borderId="58" xfId="2" applyNumberFormat="1" applyFont="1" applyBorder="1" applyAlignment="1">
      <alignment vertical="center"/>
    </xf>
    <xf numFmtId="0" fontId="6" fillId="0" borderId="31" xfId="3" applyFont="1" applyBorder="1" applyAlignment="1">
      <alignment vertical="center"/>
    </xf>
    <xf numFmtId="0" fontId="6" fillId="0" borderId="59" xfId="0" applyFont="1" applyBorder="1" applyAlignment="1">
      <alignment horizontal="left" vertical="center"/>
    </xf>
    <xf numFmtId="0" fontId="6" fillId="0" borderId="34" xfId="3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189" fontId="6" fillId="0" borderId="31" xfId="1" applyNumberFormat="1" applyFont="1" applyBorder="1" applyAlignment="1">
      <alignment vertical="center"/>
    </xf>
    <xf numFmtId="190" fontId="6" fillId="0" borderId="31" xfId="2" applyNumberFormat="1" applyFont="1" applyBorder="1" applyAlignment="1">
      <alignment vertical="center"/>
    </xf>
    <xf numFmtId="189" fontId="6" fillId="2" borderId="10" xfId="2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88" fontId="6" fillId="0" borderId="15" xfId="1" applyNumberFormat="1" applyFont="1" applyFill="1" applyBorder="1" applyAlignment="1">
      <alignment horizontal="center" vertical="center"/>
    </xf>
    <xf numFmtId="188" fontId="6" fillId="0" borderId="17" xfId="1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189" fontId="8" fillId="0" borderId="10" xfId="1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88" fontId="8" fillId="0" borderId="10" xfId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187" fontId="6" fillId="0" borderId="3" xfId="1" applyFont="1" applyFill="1" applyBorder="1"/>
    <xf numFmtId="189" fontId="6" fillId="0" borderId="5" xfId="1" applyNumberFormat="1" applyFont="1" applyFill="1" applyBorder="1"/>
    <xf numFmtId="0" fontId="6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/>
    </xf>
    <xf numFmtId="0" fontId="6" fillId="0" borderId="3" xfId="0" applyFont="1" applyFill="1" applyBorder="1"/>
    <xf numFmtId="196" fontId="6" fillId="0" borderId="3" xfId="1" applyNumberFormat="1" applyFont="1" applyFill="1" applyBorder="1" applyAlignment="1">
      <alignment horizontal="center"/>
    </xf>
    <xf numFmtId="188" fontId="6" fillId="0" borderId="3" xfId="1" applyNumberFormat="1" applyFont="1" applyFill="1" applyBorder="1" applyAlignment="1">
      <alignment horizontal="right"/>
    </xf>
    <xf numFmtId="188" fontId="6" fillId="0" borderId="5" xfId="0" applyNumberFormat="1" applyFont="1" applyFill="1" applyBorder="1"/>
    <xf numFmtId="0" fontId="6" fillId="0" borderId="0" xfId="0" applyFont="1"/>
    <xf numFmtId="0" fontId="6" fillId="0" borderId="0" xfId="0" applyFont="1" applyBorder="1"/>
    <xf numFmtId="3" fontId="6" fillId="0" borderId="3" xfId="1" applyNumberFormat="1" applyFont="1" applyFill="1" applyBorder="1" applyAlignment="1">
      <alignment horizontal="center"/>
    </xf>
    <xf numFmtId="189" fontId="6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left"/>
    </xf>
    <xf numFmtId="0" fontId="30" fillId="0" borderId="3" xfId="0" applyFont="1" applyFill="1" applyBorder="1" applyAlignment="1">
      <alignment horizontal="center"/>
    </xf>
    <xf numFmtId="188" fontId="6" fillId="0" borderId="3" xfId="1" applyNumberFormat="1" applyFont="1" applyFill="1" applyBorder="1"/>
    <xf numFmtId="188" fontId="6" fillId="8" borderId="3" xfId="1" applyNumberFormat="1" applyFont="1" applyFill="1" applyBorder="1" applyAlignment="1">
      <alignment horizontal="right"/>
    </xf>
    <xf numFmtId="188" fontId="6" fillId="0" borderId="6" xfId="1" applyNumberFormat="1" applyFont="1" applyFill="1" applyBorder="1" applyAlignment="1">
      <alignment horizontal="center"/>
    </xf>
    <xf numFmtId="188" fontId="6" fillId="0" borderId="5" xfId="1" applyNumberFormat="1" applyFont="1" applyFill="1" applyBorder="1" applyAlignment="1">
      <alignment horizontal="center"/>
    </xf>
    <xf numFmtId="189" fontId="8" fillId="8" borderId="3" xfId="1" applyNumberFormat="1" applyFont="1" applyFill="1" applyBorder="1" applyAlignment="1">
      <alignment vertical="center"/>
    </xf>
    <xf numFmtId="188" fontId="6" fillId="0" borderId="6" xfId="1" applyNumberFormat="1" applyFont="1" applyFill="1" applyBorder="1" applyAlignment="1"/>
    <xf numFmtId="0" fontId="6" fillId="0" borderId="31" xfId="0" applyFont="1" applyBorder="1" applyAlignment="1">
      <alignment horizontal="left"/>
    </xf>
    <xf numFmtId="0" fontId="6" fillId="0" borderId="3" xfId="0" applyFont="1" applyFill="1" applyBorder="1" applyAlignment="1">
      <alignment horizontal="center" vertical="center"/>
    </xf>
    <xf numFmtId="188" fontId="6" fillId="0" borderId="3" xfId="0" applyNumberFormat="1" applyFont="1" applyFill="1" applyBorder="1"/>
    <xf numFmtId="189" fontId="6" fillId="0" borderId="3" xfId="1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88" fontId="6" fillId="0" borderId="6" xfId="1" applyNumberFormat="1" applyFont="1" applyFill="1" applyBorder="1" applyAlignment="1">
      <alignment horizontal="right"/>
    </xf>
    <xf numFmtId="188" fontId="6" fillId="2" borderId="3" xfId="1" applyNumberFormat="1" applyFont="1" applyFill="1" applyBorder="1" applyAlignment="1">
      <alignment horizontal="right"/>
    </xf>
    <xf numFmtId="188" fontId="6" fillId="0" borderId="5" xfId="0" applyNumberFormat="1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Border="1" applyAlignment="1">
      <alignment vertical="center"/>
    </xf>
    <xf numFmtId="0" fontId="6" fillId="0" borderId="29" xfId="0" applyFont="1" applyBorder="1" applyAlignment="1">
      <alignment vertical="center"/>
    </xf>
    <xf numFmtId="188" fontId="6" fillId="0" borderId="29" xfId="1" applyNumberFormat="1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188" fontId="6" fillId="0" borderId="31" xfId="1" applyNumberFormat="1" applyFont="1" applyBorder="1" applyAlignment="1">
      <alignment horizontal="right" vertical="center"/>
    </xf>
    <xf numFmtId="188" fontId="6" fillId="0" borderId="3" xfId="1" applyNumberFormat="1" applyFont="1" applyBorder="1" applyAlignment="1">
      <alignment horizontal="right" vertical="center"/>
    </xf>
    <xf numFmtId="0" fontId="6" fillId="11" borderId="56" xfId="0" applyFont="1" applyFill="1" applyBorder="1" applyAlignment="1">
      <alignment horizontal="left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left" vertical="center"/>
    </xf>
    <xf numFmtId="0" fontId="6" fillId="11" borderId="83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6" fillId="3" borderId="3" xfId="3" applyFont="1" applyFill="1" applyBorder="1" applyAlignment="1" applyProtection="1">
      <alignment horizontal="center" vertical="center"/>
    </xf>
    <xf numFmtId="189" fontId="6" fillId="7" borderId="3" xfId="1" applyNumberFormat="1" applyFont="1" applyFill="1" applyBorder="1" applyAlignment="1" applyProtection="1">
      <alignment vertical="center"/>
    </xf>
    <xf numFmtId="192" fontId="6" fillId="7" borderId="3" xfId="0" applyNumberFormat="1" applyFont="1" applyFill="1" applyBorder="1" applyAlignment="1" applyProtection="1">
      <alignment horizontal="center" vertical="center"/>
    </xf>
    <xf numFmtId="192" fontId="6" fillId="6" borderId="5" xfId="0" applyNumberFormat="1" applyFont="1" applyFill="1" applyBorder="1" applyAlignment="1" applyProtection="1">
      <alignment horizontal="center" vertical="center"/>
    </xf>
    <xf numFmtId="0" fontId="6" fillId="0" borderId="18" xfId="3" applyFont="1" applyBorder="1" applyAlignment="1">
      <alignment vertical="center"/>
    </xf>
    <xf numFmtId="0" fontId="6" fillId="0" borderId="20" xfId="3" applyFont="1" applyBorder="1" applyAlignment="1">
      <alignment vertical="center"/>
    </xf>
    <xf numFmtId="0" fontId="6" fillId="0" borderId="16" xfId="3" applyFont="1" applyBorder="1" applyAlignment="1">
      <alignment vertical="center"/>
    </xf>
    <xf numFmtId="0" fontId="31" fillId="0" borderId="3" xfId="0" applyFont="1" applyFill="1" applyBorder="1"/>
    <xf numFmtId="188" fontId="6" fillId="0" borderId="3" xfId="4" applyNumberFormat="1" applyFont="1" applyBorder="1" applyAlignment="1">
      <alignment horizontal="right"/>
    </xf>
    <xf numFmtId="188" fontId="6" fillId="0" borderId="3" xfId="4" applyNumberFormat="1" applyFont="1" applyBorder="1"/>
    <xf numFmtId="188" fontId="6" fillId="0" borderId="3" xfId="4" applyNumberFormat="1" applyFont="1" applyBorder="1" applyAlignment="1">
      <alignment horizontal="center"/>
    </xf>
    <xf numFmtId="0" fontId="6" fillId="0" borderId="6" xfId="0" applyFont="1" applyFill="1" applyBorder="1"/>
    <xf numFmtId="0" fontId="6" fillId="0" borderId="3" xfId="0" applyFont="1" applyBorder="1"/>
    <xf numFmtId="3" fontId="6" fillId="0" borderId="3" xfId="4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88" fontId="6" fillId="0" borderId="3" xfId="4" quotePrefix="1" applyNumberFormat="1" applyFont="1" applyBorder="1" applyAlignment="1">
      <alignment horizontal="center"/>
    </xf>
    <xf numFmtId="188" fontId="6" fillId="0" borderId="6" xfId="0" applyNumberFormat="1" applyFont="1" applyBorder="1"/>
    <xf numFmtId="0" fontId="6" fillId="0" borderId="3" xfId="0" applyFont="1" applyBorder="1" applyAlignment="1">
      <alignment horizontal="left"/>
    </xf>
    <xf numFmtId="188" fontId="6" fillId="0" borderId="84" xfId="1" applyNumberFormat="1" applyFont="1" applyBorder="1" applyAlignment="1">
      <alignment vertical="center"/>
    </xf>
    <xf numFmtId="0" fontId="6" fillId="0" borderId="84" xfId="0" applyFont="1" applyBorder="1" applyAlignment="1">
      <alignment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93" fontId="6" fillId="0" borderId="3" xfId="1" applyNumberFormat="1" applyFont="1" applyBorder="1" applyAlignment="1">
      <alignment horizontal="center" vertical="center"/>
    </xf>
    <xf numFmtId="189" fontId="6" fillId="0" borderId="3" xfId="1" applyNumberFormat="1" applyFont="1" applyBorder="1" applyAlignment="1">
      <alignment vertical="center"/>
    </xf>
    <xf numFmtId="0" fontId="6" fillId="0" borderId="3" xfId="3" applyFont="1" applyBorder="1" applyAlignment="1">
      <alignment horizontal="center" vertical="center"/>
    </xf>
    <xf numFmtId="192" fontId="6" fillId="0" borderId="3" xfId="1" applyNumberFormat="1" applyFont="1" applyBorder="1" applyAlignment="1">
      <alignment horizontal="center" vertical="center"/>
    </xf>
    <xf numFmtId="192" fontId="6" fillId="0" borderId="3" xfId="3" applyNumberFormat="1" applyFont="1" applyBorder="1" applyAlignment="1">
      <alignment horizontal="center" vertical="center"/>
    </xf>
    <xf numFmtId="190" fontId="6" fillId="2" borderId="3" xfId="0" applyNumberFormat="1" applyFont="1" applyFill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6" xfId="3" applyFont="1" applyBorder="1" applyAlignment="1">
      <alignment vertical="center"/>
    </xf>
    <xf numFmtId="0" fontId="6" fillId="15" borderId="87" xfId="3" applyFont="1" applyFill="1" applyBorder="1" applyAlignment="1">
      <alignment vertical="center"/>
    </xf>
    <xf numFmtId="0" fontId="6" fillId="15" borderId="1" xfId="3" applyFont="1" applyFill="1" applyBorder="1" applyAlignment="1">
      <alignment vertical="center"/>
    </xf>
    <xf numFmtId="0" fontId="6" fillId="15" borderId="5" xfId="3" applyFont="1" applyFill="1" applyBorder="1" applyAlignment="1">
      <alignment vertical="center"/>
    </xf>
    <xf numFmtId="0" fontId="6" fillId="15" borderId="88" xfId="3" applyFont="1" applyFill="1" applyBorder="1" applyAlignment="1">
      <alignment horizontal="center" vertical="center"/>
    </xf>
    <xf numFmtId="191" fontId="6" fillId="0" borderId="3" xfId="3" applyNumberFormat="1" applyFont="1" applyBorder="1" applyAlignment="1">
      <alignment horizontal="right" vertical="center"/>
    </xf>
    <xf numFmtId="189" fontId="6" fillId="0" borderId="3" xfId="2" applyNumberFormat="1" applyFont="1" applyBorder="1" applyAlignment="1">
      <alignment vertical="center"/>
    </xf>
    <xf numFmtId="9" fontId="6" fillId="0" borderId="3" xfId="3" applyNumberFormat="1" applyFont="1" applyBorder="1" applyAlignment="1">
      <alignment horizontal="right" vertical="center"/>
    </xf>
    <xf numFmtId="190" fontId="6" fillId="0" borderId="3" xfId="2" applyNumberFormat="1" applyFont="1" applyBorder="1" applyAlignment="1">
      <alignment vertical="center"/>
    </xf>
    <xf numFmtId="9" fontId="6" fillId="15" borderId="88" xfId="3" applyNumberFormat="1" applyFont="1" applyFill="1" applyBorder="1" applyAlignment="1">
      <alignment horizontal="center" vertical="center"/>
    </xf>
    <xf numFmtId="9" fontId="6" fillId="2" borderId="5" xfId="3" applyNumberFormat="1" applyFont="1" applyFill="1" applyBorder="1" applyAlignment="1">
      <alignment horizontal="center" vertical="center"/>
    </xf>
    <xf numFmtId="0" fontId="31" fillId="0" borderId="3" xfId="0" applyFont="1" applyBorder="1"/>
    <xf numFmtId="3" fontId="6" fillId="0" borderId="3" xfId="4" applyNumberFormat="1" applyFont="1" applyBorder="1" applyAlignment="1">
      <alignment horizontal="center"/>
    </xf>
    <xf numFmtId="188" fontId="6" fillId="0" borderId="5" xfId="4" applyNumberFormat="1" applyFont="1" applyBorder="1"/>
    <xf numFmtId="188" fontId="6" fillId="0" borderId="6" xfId="0" applyNumberFormat="1" applyFont="1" applyFill="1" applyBorder="1"/>
    <xf numFmtId="188" fontId="6" fillId="0" borderId="6" xfId="4" applyNumberFormat="1" applyFont="1" applyBorder="1" applyAlignment="1">
      <alignment horizontal="right"/>
    </xf>
    <xf numFmtId="188" fontId="6" fillId="0" borderId="5" xfId="4" applyNumberFormat="1" applyFont="1" applyBorder="1" applyAlignment="1"/>
    <xf numFmtId="0" fontId="6" fillId="0" borderId="3" xfId="0" quotePrefix="1" applyFont="1" applyBorder="1"/>
    <xf numFmtId="189" fontId="6" fillId="0" borderId="10" xfId="4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88" fontId="6" fillId="0" borderId="3" xfId="4" applyNumberFormat="1" applyFont="1" applyFill="1" applyBorder="1" applyAlignment="1">
      <alignment horizontal="center"/>
    </xf>
    <xf numFmtId="188" fontId="6" fillId="0" borderId="5" xfId="4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88" fontId="6" fillId="0" borderId="3" xfId="4" applyNumberFormat="1" applyFont="1" applyFill="1" applyBorder="1" applyAlignment="1">
      <alignment horizontal="right"/>
    </xf>
    <xf numFmtId="188" fontId="6" fillId="16" borderId="5" xfId="0" applyNumberFormat="1" applyFont="1" applyFill="1" applyBorder="1"/>
    <xf numFmtId="0" fontId="8" fillId="0" borderId="3" xfId="0" applyFont="1" applyFill="1" applyBorder="1" applyAlignment="1">
      <alignment vertical="center"/>
    </xf>
    <xf numFmtId="188" fontId="6" fillId="0" borderId="3" xfId="4" applyNumberFormat="1" applyFont="1" applyBorder="1" applyAlignment="1"/>
    <xf numFmtId="188" fontId="6" fillId="0" borderId="6" xfId="0" applyNumberFormat="1" applyFont="1" applyBorder="1" applyAlignment="1">
      <alignment horizontal="right"/>
    </xf>
    <xf numFmtId="187" fontId="6" fillId="0" borderId="3" xfId="4" applyFont="1" applyFill="1" applyBorder="1"/>
    <xf numFmtId="188" fontId="6" fillId="0" borderId="3" xfId="4" applyNumberFormat="1" applyFont="1" applyFill="1" applyBorder="1" applyAlignment="1">
      <alignment horizontal="left"/>
    </xf>
    <xf numFmtId="188" fontId="6" fillId="0" borderId="4" xfId="0" applyNumberFormat="1" applyFont="1" applyBorder="1"/>
    <xf numFmtId="0" fontId="6" fillId="16" borderId="5" xfId="0" applyFont="1" applyFill="1" applyBorder="1" applyAlignment="1">
      <alignment horizontal="center"/>
    </xf>
    <xf numFmtId="188" fontId="6" fillId="16" borderId="3" xfId="4" applyNumberFormat="1" applyFont="1" applyFill="1" applyBorder="1" applyAlignment="1">
      <alignment horizontal="right"/>
    </xf>
    <xf numFmtId="188" fontId="6" fillId="16" borderId="3" xfId="4" applyNumberFormat="1" applyFont="1" applyFill="1" applyBorder="1"/>
    <xf numFmtId="188" fontId="6" fillId="16" borderId="5" xfId="4" applyNumberFormat="1" applyFont="1" applyFill="1" applyBorder="1"/>
    <xf numFmtId="0" fontId="6" fillId="16" borderId="3" xfId="0" applyFont="1" applyFill="1" applyBorder="1"/>
    <xf numFmtId="188" fontId="6" fillId="0" borderId="3" xfId="4" applyNumberFormat="1" applyFont="1" applyFill="1" applyBorder="1" applyAlignment="1">
      <alignment horizontal="right" vertical="center"/>
    </xf>
    <xf numFmtId="1" fontId="6" fillId="0" borderId="3" xfId="0" applyNumberFormat="1" applyFont="1" applyFill="1" applyBorder="1" applyAlignment="1">
      <alignment horizontal="center" vertical="center"/>
    </xf>
    <xf numFmtId="188" fontId="6" fillId="0" borderId="3" xfId="4" applyNumberFormat="1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vertical="center"/>
    </xf>
    <xf numFmtId="188" fontId="6" fillId="0" borderId="1" xfId="1" applyNumberFormat="1" applyFont="1" applyBorder="1" applyAlignment="1">
      <alignment horizontal="left" vertical="center"/>
    </xf>
    <xf numFmtId="199" fontId="6" fillId="0" borderId="1" xfId="0" applyNumberFormat="1" applyFont="1" applyBorder="1" applyAlignment="1">
      <alignment vertical="center"/>
    </xf>
    <xf numFmtId="188" fontId="8" fillId="0" borderId="30" xfId="1" applyNumberFormat="1" applyFont="1" applyBorder="1" applyAlignment="1">
      <alignment horizontal="center" vertical="center"/>
    </xf>
    <xf numFmtId="188" fontId="8" fillId="8" borderId="7" xfId="1" applyNumberFormat="1" applyFont="1" applyFill="1" applyBorder="1" applyAlignment="1">
      <alignment horizontal="right" vertical="center"/>
    </xf>
    <xf numFmtId="0" fontId="6" fillId="0" borderId="1" xfId="3" applyFont="1" applyBorder="1" applyAlignment="1" applyProtection="1">
      <alignment horizontal="left" vertical="center"/>
      <protection locked="0"/>
    </xf>
    <xf numFmtId="198" fontId="6" fillId="0" borderId="1" xfId="0" applyNumberFormat="1" applyFont="1" applyBorder="1" applyAlignment="1" applyProtection="1">
      <alignment horizontal="center" vertical="center"/>
      <protection locked="0"/>
    </xf>
    <xf numFmtId="9" fontId="6" fillId="15" borderId="88" xfId="3" applyNumberFormat="1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192" fontId="6" fillId="9" borderId="3" xfId="0" applyNumberFormat="1" applyFont="1" applyFill="1" applyBorder="1" applyAlignment="1" applyProtection="1">
      <alignment horizontal="center" vertical="center"/>
    </xf>
    <xf numFmtId="192" fontId="8" fillId="9" borderId="3" xfId="0" applyNumberFormat="1" applyFont="1" applyFill="1" applyBorder="1" applyAlignment="1" applyProtection="1">
      <alignment horizontal="center" vertical="center"/>
    </xf>
    <xf numFmtId="188" fontId="8" fillId="8" borderId="3" xfId="1" applyNumberFormat="1" applyFont="1" applyFill="1" applyBorder="1" applyAlignment="1">
      <alignment horizontal="right" vertical="center"/>
    </xf>
    <xf numFmtId="0" fontId="6" fillId="0" borderId="1" xfId="3" applyFont="1" applyBorder="1" applyAlignment="1">
      <alignment horizontal="left" vertical="center"/>
    </xf>
    <xf numFmtId="198" fontId="6" fillId="0" borderId="1" xfId="0" applyNumberFormat="1" applyFont="1" applyBorder="1" applyAlignment="1">
      <alignment horizontal="center" vertical="center"/>
    </xf>
    <xf numFmtId="0" fontId="6" fillId="0" borderId="31" xfId="1" applyNumberFormat="1" applyFont="1" applyBorder="1" applyAlignment="1">
      <alignment horizontal="center" vertical="center"/>
    </xf>
    <xf numFmtId="188" fontId="8" fillId="8" borderId="10" xfId="1" applyNumberFormat="1" applyFont="1" applyFill="1" applyBorder="1" applyAlignment="1">
      <alignment horizontal="right" vertical="center"/>
    </xf>
    <xf numFmtId="0" fontId="8" fillId="0" borderId="29" xfId="0" applyFont="1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/>
    </xf>
    <xf numFmtId="189" fontId="8" fillId="0" borderId="30" xfId="1" applyNumberFormat="1" applyFont="1" applyFill="1" applyBorder="1" applyAlignment="1">
      <alignment vertical="center"/>
    </xf>
    <xf numFmtId="0" fontId="8" fillId="0" borderId="32" xfId="0" applyFont="1" applyFill="1" applyBorder="1" applyAlignment="1">
      <alignment vertical="center"/>
    </xf>
    <xf numFmtId="188" fontId="6" fillId="0" borderId="30" xfId="1" applyNumberFormat="1" applyFont="1" applyFill="1" applyBorder="1" applyAlignment="1">
      <alignment horizontal="center" vertical="center"/>
    </xf>
    <xf numFmtId="188" fontId="6" fillId="0" borderId="32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right" vertical="center"/>
    </xf>
    <xf numFmtId="189" fontId="8" fillId="3" borderId="3" xfId="1" applyNumberFormat="1" applyFont="1" applyFill="1" applyBorder="1" applyAlignment="1">
      <alignment vertical="center"/>
    </xf>
    <xf numFmtId="188" fontId="6" fillId="0" borderId="0" xfId="0" applyNumberFormat="1" applyFont="1" applyFill="1" applyBorder="1" applyAlignment="1">
      <alignment vertical="center"/>
    </xf>
    <xf numFmtId="188" fontId="6" fillId="0" borderId="5" xfId="1" applyNumberFormat="1" applyFont="1" applyFill="1" applyBorder="1" applyAlignment="1"/>
    <xf numFmtId="3" fontId="6" fillId="0" borderId="89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88" fontId="8" fillId="0" borderId="3" xfId="4" applyNumberFormat="1" applyFont="1" applyBorder="1" applyAlignment="1">
      <alignment horizontal="right"/>
    </xf>
    <xf numFmtId="0" fontId="6" fillId="0" borderId="89" xfId="0" applyFont="1" applyBorder="1"/>
    <xf numFmtId="0" fontId="8" fillId="0" borderId="3" xfId="0" applyFont="1" applyFill="1" applyBorder="1"/>
    <xf numFmtId="3" fontId="8" fillId="0" borderId="3" xfId="4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8" fontId="8" fillId="0" borderId="3" xfId="4" applyNumberFormat="1" applyFont="1" applyFill="1" applyBorder="1" applyAlignment="1">
      <alignment horizontal="right"/>
    </xf>
    <xf numFmtId="188" fontId="8" fillId="0" borderId="4" xfId="0" applyNumberFormat="1" applyFont="1" applyBorder="1"/>
    <xf numFmtId="3" fontId="6" fillId="0" borderId="89" xfId="4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88" fontId="6" fillId="16" borderId="5" xfId="0" applyNumberFormat="1" applyFont="1" applyFill="1" applyBorder="1" applyAlignment="1">
      <alignment vertical="center"/>
    </xf>
    <xf numFmtId="188" fontId="6" fillId="0" borderId="0" xfId="0" applyNumberFormat="1" applyFont="1" applyFill="1" applyAlignment="1">
      <alignment vertical="center"/>
    </xf>
    <xf numFmtId="189" fontId="6" fillId="0" borderId="3" xfId="0" applyNumberFormat="1" applyFont="1" applyFill="1" applyBorder="1" applyAlignment="1">
      <alignment vertical="center"/>
    </xf>
    <xf numFmtId="0" fontId="6" fillId="16" borderId="3" xfId="0" applyFont="1" applyFill="1" applyBorder="1" applyAlignment="1">
      <alignment horizontal="center"/>
    </xf>
    <xf numFmtId="188" fontId="6" fillId="0" borderId="3" xfId="1" applyNumberFormat="1" applyFont="1" applyFill="1" applyBorder="1" applyAlignment="1">
      <alignment horizontal="right" vertical="center"/>
    </xf>
    <xf numFmtId="188" fontId="6" fillId="0" borderId="3" xfId="1" applyNumberFormat="1" applyFont="1" applyFill="1" applyBorder="1" applyAlignment="1">
      <alignment horizontal="center" vertical="center"/>
    </xf>
    <xf numFmtId="188" fontId="6" fillId="16" borderId="3" xfId="1" applyNumberFormat="1" applyFont="1" applyFill="1" applyBorder="1" applyAlignment="1">
      <alignment horizontal="right" vertical="center"/>
    </xf>
    <xf numFmtId="188" fontId="6" fillId="16" borderId="3" xfId="1" applyNumberFormat="1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vertical="center"/>
    </xf>
    <xf numFmtId="0" fontId="8" fillId="17" borderId="84" xfId="0" applyFont="1" applyFill="1" applyBorder="1" applyAlignment="1">
      <alignment vertical="center"/>
    </xf>
    <xf numFmtId="189" fontId="8" fillId="0" borderId="30" xfId="4" applyNumberFormat="1" applyFont="1" applyFill="1" applyBorder="1" applyAlignment="1">
      <alignment horizontal="center" vertical="center"/>
    </xf>
    <xf numFmtId="188" fontId="8" fillId="0" borderId="3" xfId="4" applyNumberFormat="1" applyFont="1" applyFill="1" applyBorder="1" applyAlignment="1">
      <alignment horizontal="center"/>
    </xf>
    <xf numFmtId="188" fontId="8" fillId="0" borderId="5" xfId="4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188" fontId="30" fillId="0" borderId="0" xfId="0" applyNumberFormat="1" applyFont="1" applyFill="1" applyAlignment="1">
      <alignment vertical="center"/>
    </xf>
    <xf numFmtId="0" fontId="8" fillId="0" borderId="11" xfId="0" applyFont="1" applyFill="1" applyBorder="1" applyAlignment="1">
      <alignment horizontal="center"/>
    </xf>
    <xf numFmtId="189" fontId="8" fillId="8" borderId="5" xfId="1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84" xfId="0" quotePrefix="1" applyFont="1" applyBorder="1" applyAlignment="1">
      <alignment horizontal="center" vertical="center"/>
    </xf>
    <xf numFmtId="0" fontId="6" fillId="0" borderId="84" xfId="0" applyFont="1" applyBorder="1" applyAlignment="1">
      <alignment horizontal="left"/>
    </xf>
    <xf numFmtId="0" fontId="6" fillId="0" borderId="85" xfId="0" quotePrefix="1" applyFont="1" applyBorder="1" applyAlignment="1">
      <alignment horizontal="center" vertical="center"/>
    </xf>
    <xf numFmtId="0" fontId="6" fillId="0" borderId="86" xfId="0" applyFont="1" applyBorder="1" applyAlignment="1">
      <alignment horizontal="left" vertical="center"/>
    </xf>
    <xf numFmtId="188" fontId="6" fillId="0" borderId="84" xfId="1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/>
    </xf>
    <xf numFmtId="197" fontId="6" fillId="0" borderId="0" xfId="0" quotePrefix="1" applyNumberFormat="1" applyFont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vertical="center"/>
    </xf>
    <xf numFmtId="188" fontId="6" fillId="0" borderId="3" xfId="1" applyNumberFormat="1" applyFont="1" applyFill="1" applyBorder="1" applyAlignment="1"/>
    <xf numFmtId="189" fontId="30" fillId="0" borderId="0" xfId="0" applyNumberFormat="1" applyFont="1" applyFill="1" applyAlignment="1">
      <alignment vertical="center"/>
    </xf>
    <xf numFmtId="189" fontId="6" fillId="0" borderId="3" xfId="1" applyNumberFormat="1" applyFont="1" applyFill="1" applyBorder="1"/>
    <xf numFmtId="3" fontId="6" fillId="0" borderId="3" xfId="4" applyNumberFormat="1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vertical="center"/>
    </xf>
    <xf numFmtId="188" fontId="6" fillId="0" borderId="5" xfId="1" applyNumberFormat="1" applyFont="1" applyFill="1" applyBorder="1" applyAlignment="1">
      <alignment vertical="center"/>
    </xf>
    <xf numFmtId="188" fontId="6" fillId="0" borderId="6" xfId="1" applyNumberFormat="1" applyFont="1" applyFill="1" applyBorder="1" applyAlignment="1">
      <alignment horizontal="right" vertical="center"/>
    </xf>
    <xf numFmtId="0" fontId="6" fillId="16" borderId="3" xfId="8" applyFont="1" applyFill="1" applyBorder="1"/>
    <xf numFmtId="187" fontId="6" fillId="16" borderId="3" xfId="4" applyFont="1" applyFill="1" applyBorder="1" applyAlignment="1">
      <alignment horizontal="center"/>
    </xf>
    <xf numFmtId="0" fontId="8" fillId="16" borderId="3" xfId="0" applyFont="1" applyFill="1" applyBorder="1"/>
    <xf numFmtId="3" fontId="6" fillId="16" borderId="3" xfId="4" applyNumberFormat="1" applyFont="1" applyFill="1" applyBorder="1" applyAlignment="1">
      <alignment horizontal="center"/>
    </xf>
    <xf numFmtId="188" fontId="6" fillId="16" borderId="3" xfId="4" applyNumberFormat="1" applyFont="1" applyFill="1" applyBorder="1" applyAlignment="1"/>
    <xf numFmtId="188" fontId="6" fillId="16" borderId="3" xfId="4" applyNumberFormat="1" applyFont="1" applyFill="1" applyBorder="1" applyAlignment="1">
      <alignment horizontal="center"/>
    </xf>
    <xf numFmtId="188" fontId="6" fillId="16" borderId="5" xfId="4" applyNumberFormat="1" applyFont="1" applyFill="1" applyBorder="1" applyAlignment="1">
      <alignment horizontal="center"/>
    </xf>
    <xf numFmtId="188" fontId="8" fillId="0" borderId="15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188" fontId="8" fillId="0" borderId="12" xfId="1" applyNumberFormat="1" applyFont="1" applyFill="1" applyBorder="1" applyAlignment="1">
      <alignment horizontal="center" vertical="center"/>
    </xf>
    <xf numFmtId="187" fontId="6" fillId="16" borderId="6" xfId="4" applyFont="1" applyFill="1" applyBorder="1" applyAlignment="1">
      <alignment horizontal="center"/>
    </xf>
    <xf numFmtId="187" fontId="6" fillId="16" borderId="5" xfId="4" applyFont="1" applyFill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189" fontId="8" fillId="16" borderId="5" xfId="1" applyNumberFormat="1" applyFont="1" applyFill="1" applyBorder="1" applyAlignment="1">
      <alignment vertical="center"/>
    </xf>
    <xf numFmtId="188" fontId="6" fillId="0" borderId="3" xfId="1" applyNumberFormat="1" applyFont="1" applyFill="1" applyBorder="1" applyAlignment="1">
      <alignment horizontal="center"/>
    </xf>
    <xf numFmtId="200" fontId="6" fillId="0" borderId="1" xfId="0" applyNumberFormat="1" applyFont="1" applyBorder="1" applyAlignment="1">
      <alignment horizontal="left" vertical="center"/>
    </xf>
    <xf numFmtId="202" fontId="6" fillId="0" borderId="3" xfId="4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03" fontId="6" fillId="0" borderId="3" xfId="4" applyNumberFormat="1" applyFont="1" applyBorder="1" applyAlignment="1">
      <alignment horizontal="center"/>
    </xf>
    <xf numFmtId="188" fontId="6" fillId="0" borderId="5" xfId="4" applyNumberFormat="1" applyFont="1" applyBorder="1" applyAlignment="1">
      <alignment horizontal="left"/>
    </xf>
    <xf numFmtId="4" fontId="6" fillId="0" borderId="3" xfId="4" applyNumberFormat="1" applyFont="1" applyBorder="1" applyAlignment="1">
      <alignment horizontal="center"/>
    </xf>
    <xf numFmtId="0" fontId="6" fillId="0" borderId="10" xfId="0" applyFont="1" applyFill="1" applyBorder="1" applyAlignment="1">
      <alignment horizontal="left" vertical="center"/>
    </xf>
    <xf numFmtId="3" fontId="6" fillId="0" borderId="0" xfId="0" applyNumberFormat="1" applyFont="1" applyFill="1" applyAlignment="1">
      <alignment vertical="center"/>
    </xf>
    <xf numFmtId="3" fontId="6" fillId="0" borderId="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shrinkToFit="1"/>
    </xf>
    <xf numFmtId="203" fontId="6" fillId="0" borderId="3" xfId="4" applyNumberFormat="1" applyFont="1" applyFill="1" applyBorder="1" applyAlignment="1">
      <alignment horizontal="center"/>
    </xf>
    <xf numFmtId="188" fontId="6" fillId="0" borderId="6" xfId="4" applyNumberFormat="1" applyFont="1" applyFill="1" applyBorder="1" applyAlignment="1">
      <alignment horizontal="right"/>
    </xf>
    <xf numFmtId="188" fontId="6" fillId="0" borderId="5" xfId="4" applyNumberFormat="1" applyFont="1" applyFill="1" applyBorder="1" applyAlignment="1">
      <alignment horizontal="left"/>
    </xf>
    <xf numFmtId="3" fontId="6" fillId="0" borderId="3" xfId="4" applyNumberFormat="1" applyFont="1" applyFill="1" applyBorder="1" applyAlignment="1">
      <alignment horizontal="center"/>
    </xf>
    <xf numFmtId="0" fontId="6" fillId="16" borderId="3" xfId="0" quotePrefix="1" applyFont="1" applyFill="1" applyBorder="1"/>
    <xf numFmtId="188" fontId="6" fillId="16" borderId="5" xfId="4" applyNumberFormat="1" applyFont="1" applyFill="1" applyBorder="1" applyAlignment="1">
      <alignment horizontal="right"/>
    </xf>
    <xf numFmtId="188" fontId="6" fillId="16" borderId="10" xfId="4" applyNumberFormat="1" applyFont="1" applyFill="1" applyBorder="1" applyAlignment="1">
      <alignment horizontal="right"/>
    </xf>
    <xf numFmtId="188" fontId="6" fillId="16" borderId="12" xfId="4" applyNumberFormat="1" applyFont="1" applyFill="1" applyBorder="1" applyAlignment="1">
      <alignment horizontal="right"/>
    </xf>
    <xf numFmtId="3" fontId="6" fillId="16" borderId="3" xfId="4" quotePrefix="1" applyNumberFormat="1" applyFont="1" applyFill="1" applyBorder="1" applyAlignment="1">
      <alignment horizontal="center" vertical="center"/>
    </xf>
    <xf numFmtId="0" fontId="6" fillId="16" borderId="5" xfId="0" applyFont="1" applyFill="1" applyBorder="1" applyAlignment="1">
      <alignment horizontal="center" vertical="center"/>
    </xf>
    <xf numFmtId="188" fontId="6" fillId="16" borderId="3" xfId="4" applyNumberFormat="1" applyFont="1" applyFill="1" applyBorder="1" applyAlignment="1">
      <alignment horizontal="right" vertical="center"/>
    </xf>
    <xf numFmtId="188" fontId="6" fillId="16" borderId="3" xfId="4" applyNumberFormat="1" applyFont="1" applyFill="1" applyBorder="1" applyAlignment="1">
      <alignment vertical="center"/>
    </xf>
    <xf numFmtId="188" fontId="6" fillId="16" borderId="3" xfId="7" applyNumberFormat="1" applyFont="1" applyFill="1" applyBorder="1"/>
    <xf numFmtId="188" fontId="6" fillId="0" borderId="1" xfId="0" applyNumberFormat="1" applyFont="1" applyFill="1" applyBorder="1"/>
    <xf numFmtId="0" fontId="6" fillId="16" borderId="3" xfId="0" quotePrefix="1" applyFont="1" applyFill="1" applyBorder="1" applyAlignment="1">
      <alignment vertical="center"/>
    </xf>
    <xf numFmtId="0" fontId="6" fillId="0" borderId="3" xfId="0" quotePrefix="1" applyFont="1" applyFill="1" applyBorder="1" applyAlignment="1">
      <alignment vertical="center"/>
    </xf>
    <xf numFmtId="0" fontId="8" fillId="16" borderId="3" xfId="0" applyFont="1" applyFill="1" applyBorder="1" applyAlignment="1">
      <alignment vertical="center"/>
    </xf>
    <xf numFmtId="3" fontId="6" fillId="16" borderId="10" xfId="4" applyNumberFormat="1" applyFont="1" applyFill="1" applyBorder="1" applyAlignment="1">
      <alignment horizontal="center" vertical="center"/>
    </xf>
    <xf numFmtId="0" fontId="6" fillId="16" borderId="12" xfId="0" applyFont="1" applyFill="1" applyBorder="1" applyAlignment="1">
      <alignment horizontal="center" vertical="center"/>
    </xf>
    <xf numFmtId="188" fontId="6" fillId="16" borderId="3" xfId="4" applyNumberFormat="1" applyFont="1" applyFill="1" applyBorder="1" applyAlignment="1">
      <alignment horizontal="center" vertical="center"/>
    </xf>
    <xf numFmtId="0" fontId="6" fillId="16" borderId="5" xfId="0" applyFont="1" applyFill="1" applyBorder="1" applyAlignment="1">
      <alignment vertical="center"/>
    </xf>
    <xf numFmtId="3" fontId="6" fillId="16" borderId="3" xfId="4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vertical="center"/>
    </xf>
    <xf numFmtId="188" fontId="6" fillId="0" borderId="0" xfId="0" applyNumberFormat="1" applyFont="1"/>
    <xf numFmtId="188" fontId="6" fillId="16" borderId="5" xfId="4" applyNumberFormat="1" applyFont="1" applyFill="1" applyBorder="1" applyAlignment="1">
      <alignment vertical="center"/>
    </xf>
    <xf numFmtId="188" fontId="6" fillId="16" borderId="10" xfId="4" applyNumberFormat="1" applyFont="1" applyFill="1" applyBorder="1" applyAlignment="1">
      <alignment horizontal="right" vertical="center"/>
    </xf>
    <xf numFmtId="188" fontId="6" fillId="16" borderId="12" xfId="4" applyNumberFormat="1" applyFont="1" applyFill="1" applyBorder="1" applyAlignment="1">
      <alignment vertical="center"/>
    </xf>
    <xf numFmtId="188" fontId="6" fillId="16" borderId="12" xfId="4" applyNumberFormat="1" applyFont="1" applyFill="1" applyBorder="1" applyAlignment="1">
      <alignment horizontal="right" vertical="center"/>
    </xf>
    <xf numFmtId="0" fontId="8" fillId="16" borderId="3" xfId="0" quotePrefix="1" applyFont="1" applyFill="1" applyBorder="1"/>
    <xf numFmtId="188" fontId="6" fillId="16" borderId="11" xfId="4" applyNumberFormat="1" applyFont="1" applyFill="1" applyBorder="1" applyAlignment="1">
      <alignment horizontal="center" vertical="center"/>
    </xf>
    <xf numFmtId="188" fontId="6" fillId="16" borderId="12" xfId="4" applyNumberFormat="1" applyFont="1" applyFill="1" applyBorder="1" applyAlignment="1">
      <alignment horizontal="center" vertical="center"/>
    </xf>
    <xf numFmtId="3" fontId="6" fillId="16" borderId="3" xfId="4" quotePrefix="1" applyNumberFormat="1" applyFont="1" applyFill="1" applyBorder="1" applyAlignment="1">
      <alignment horizontal="center"/>
    </xf>
    <xf numFmtId="188" fontId="6" fillId="16" borderId="10" xfId="4" applyNumberFormat="1" applyFont="1" applyFill="1" applyBorder="1" applyAlignment="1">
      <alignment horizontal="center"/>
    </xf>
    <xf numFmtId="188" fontId="6" fillId="16" borderId="12" xfId="4" applyNumberFormat="1" applyFont="1" applyFill="1" applyBorder="1" applyAlignment="1">
      <alignment horizontal="center"/>
    </xf>
    <xf numFmtId="0" fontId="36" fillId="16" borderId="3" xfId="0" applyFont="1" applyFill="1" applyBorder="1"/>
    <xf numFmtId="0" fontId="6" fillId="16" borderId="5" xfId="0" applyFont="1" applyFill="1" applyBorder="1"/>
    <xf numFmtId="0" fontId="6" fillId="16" borderId="6" xfId="0" quotePrefix="1" applyFont="1" applyFill="1" applyBorder="1" applyAlignment="1"/>
    <xf numFmtId="0" fontId="6" fillId="16" borderId="10" xfId="0" applyFont="1" applyFill="1" applyBorder="1"/>
    <xf numFmtId="3" fontId="6" fillId="16" borderId="3" xfId="0" applyNumberFormat="1" applyFont="1" applyFill="1" applyBorder="1" applyAlignment="1">
      <alignment horizontal="center"/>
    </xf>
    <xf numFmtId="188" fontId="6" fillId="16" borderId="3" xfId="1" applyNumberFormat="1" applyFont="1" applyFill="1" applyBorder="1" applyAlignment="1">
      <alignment horizontal="right"/>
    </xf>
    <xf numFmtId="188" fontId="6" fillId="16" borderId="3" xfId="1" applyNumberFormat="1" applyFont="1" applyFill="1" applyBorder="1"/>
    <xf numFmtId="188" fontId="6" fillId="16" borderId="10" xfId="1" applyNumberFormat="1" applyFont="1" applyFill="1" applyBorder="1" applyAlignment="1">
      <alignment horizontal="center"/>
    </xf>
    <xf numFmtId="188" fontId="6" fillId="16" borderId="12" xfId="1" applyNumberFormat="1" applyFont="1" applyFill="1" applyBorder="1" applyAlignment="1">
      <alignment horizontal="center"/>
    </xf>
    <xf numFmtId="3" fontId="6" fillId="16" borderId="3" xfId="1" applyNumberFormat="1" applyFont="1" applyFill="1" applyBorder="1" applyAlignment="1">
      <alignment horizontal="center"/>
    </xf>
    <xf numFmtId="188" fontId="6" fillId="16" borderId="3" xfId="1" applyNumberFormat="1" applyFont="1" applyFill="1" applyBorder="1" applyAlignment="1">
      <alignment horizontal="center"/>
    </xf>
    <xf numFmtId="0" fontId="6" fillId="16" borderId="5" xfId="8" applyFont="1" applyFill="1" applyBorder="1" applyAlignment="1">
      <alignment horizontal="center"/>
    </xf>
    <xf numFmtId="188" fontId="6" fillId="16" borderId="6" xfId="1" applyNumberFormat="1" applyFont="1" applyFill="1" applyBorder="1" applyAlignment="1">
      <alignment horizontal="right"/>
    </xf>
    <xf numFmtId="188" fontId="6" fillId="16" borderId="5" xfId="1" applyNumberFormat="1" applyFont="1" applyFill="1" applyBorder="1" applyAlignment="1">
      <alignment horizontal="right"/>
    </xf>
    <xf numFmtId="188" fontId="8" fillId="0" borderId="6" xfId="4" applyNumberFormat="1" applyFont="1" applyBorder="1" applyAlignment="1">
      <alignment horizontal="right"/>
    </xf>
    <xf numFmtId="188" fontId="8" fillId="0" borderId="3" xfId="4" applyNumberFormat="1" applyFont="1" applyBorder="1" applyAlignment="1"/>
    <xf numFmtId="188" fontId="8" fillId="0" borderId="6" xfId="0" applyNumberFormat="1" applyFont="1" applyBorder="1"/>
    <xf numFmtId="0" fontId="8" fillId="16" borderId="10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horizontal="center" vertical="center"/>
    </xf>
    <xf numFmtId="4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horizontal="center"/>
    </xf>
    <xf numFmtId="187" fontId="6" fillId="16" borderId="3" xfId="4" applyFont="1" applyFill="1" applyBorder="1"/>
    <xf numFmtId="189" fontId="6" fillId="0" borderId="0" xfId="0" applyNumberFormat="1" applyFont="1"/>
    <xf numFmtId="188" fontId="6" fillId="16" borderId="6" xfId="4" applyNumberFormat="1" applyFont="1" applyFill="1" applyBorder="1" applyAlignment="1">
      <alignment horizontal="center"/>
    </xf>
    <xf numFmtId="188" fontId="6" fillId="16" borderId="83" xfId="0" applyNumberFormat="1" applyFont="1" applyFill="1" applyBorder="1" applyAlignment="1">
      <alignment vertical="center"/>
    </xf>
    <xf numFmtId="43" fontId="8" fillId="0" borderId="24" xfId="9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center" vertical="center"/>
    </xf>
    <xf numFmtId="43" fontId="8" fillId="16" borderId="24" xfId="9" applyFont="1" applyFill="1" applyBorder="1" applyAlignment="1">
      <alignment horizontal="left" vertical="center"/>
    </xf>
    <xf numFmtId="196" fontId="6" fillId="0" borderId="3" xfId="1" applyNumberFormat="1" applyFont="1" applyFill="1" applyBorder="1" applyAlignment="1">
      <alignment horizontal="right"/>
    </xf>
    <xf numFmtId="188" fontId="6" fillId="0" borderId="6" xfId="4" applyNumberFormat="1" applyFont="1" applyFill="1" applyBorder="1" applyAlignment="1">
      <alignment horizontal="right" vertical="center"/>
    </xf>
    <xf numFmtId="188" fontId="6" fillId="0" borderId="5" xfId="4" applyNumberFormat="1" applyFont="1" applyFill="1" applyBorder="1" applyAlignment="1">
      <alignment vertical="center"/>
    </xf>
    <xf numFmtId="188" fontId="6" fillId="0" borderId="83" xfId="0" applyNumberFormat="1" applyFont="1" applyFill="1" applyBorder="1" applyAlignment="1">
      <alignment vertical="center"/>
    </xf>
    <xf numFmtId="43" fontId="8" fillId="0" borderId="59" xfId="9" applyFont="1" applyFill="1" applyBorder="1" applyAlignment="1">
      <alignment horizontal="left" vertical="center"/>
    </xf>
    <xf numFmtId="188" fontId="6" fillId="16" borderId="6" xfId="4" applyNumberFormat="1" applyFont="1" applyFill="1" applyBorder="1" applyAlignment="1">
      <alignment horizontal="right"/>
    </xf>
    <xf numFmtId="188" fontId="6" fillId="16" borderId="5" xfId="4" applyNumberFormat="1" applyFont="1" applyFill="1" applyBorder="1" applyAlignment="1"/>
    <xf numFmtId="188" fontId="6" fillId="0" borderId="3" xfId="10" applyNumberFormat="1" applyFont="1" applyFill="1" applyBorder="1" applyAlignment="1">
      <alignment horizontal="right" vertical="center"/>
    </xf>
    <xf numFmtId="188" fontId="6" fillId="0" borderId="3" xfId="10" applyNumberFormat="1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left" vertical="center"/>
    </xf>
    <xf numFmtId="3" fontId="6" fillId="0" borderId="30" xfId="4" applyNumberFormat="1" applyFont="1" applyFill="1" applyBorder="1" applyAlignment="1">
      <alignment horizontal="center" vertical="center"/>
    </xf>
    <xf numFmtId="188" fontId="6" fillId="0" borderId="10" xfId="4" applyNumberFormat="1" applyFont="1" applyBorder="1"/>
    <xf numFmtId="3" fontId="6" fillId="0" borderId="3" xfId="10" applyNumberFormat="1" applyFont="1" applyBorder="1" applyAlignment="1">
      <alignment horizontal="center"/>
    </xf>
    <xf numFmtId="188" fontId="6" fillId="0" borderId="3" xfId="10" applyNumberFormat="1" applyFont="1" applyBorder="1"/>
    <xf numFmtId="188" fontId="6" fillId="0" borderId="3" xfId="10" applyNumberFormat="1" applyFont="1" applyBorder="1" applyAlignment="1">
      <alignment horizontal="right"/>
    </xf>
    <xf numFmtId="188" fontId="6" fillId="0" borderId="3" xfId="10" applyNumberFormat="1" applyFont="1" applyBorder="1" applyAlignment="1">
      <alignment horizontal="center"/>
    </xf>
    <xf numFmtId="3" fontId="8" fillId="0" borderId="3" xfId="10" applyNumberFormat="1" applyFont="1" applyBorder="1" applyAlignment="1">
      <alignment horizontal="center"/>
    </xf>
    <xf numFmtId="188" fontId="6" fillId="0" borderId="3" xfId="10" applyNumberFormat="1" applyFont="1" applyFill="1" applyBorder="1" applyAlignment="1">
      <alignment horizontal="right"/>
    </xf>
    <xf numFmtId="3" fontId="6" fillId="0" borderId="3" xfId="10" applyNumberFormat="1" applyFont="1" applyFill="1" applyBorder="1" applyAlignment="1">
      <alignment horizontal="center"/>
    </xf>
    <xf numFmtId="188" fontId="6" fillId="16" borderId="3" xfId="10" applyNumberFormat="1" applyFont="1" applyFill="1" applyBorder="1"/>
    <xf numFmtId="188" fontId="6" fillId="0" borderId="3" xfId="10" applyNumberFormat="1" applyFont="1" applyFill="1" applyBorder="1"/>
    <xf numFmtId="188" fontId="6" fillId="0" borderId="3" xfId="10" applyNumberFormat="1" applyFont="1" applyFill="1" applyBorder="1" applyAlignment="1">
      <alignment horizontal="center"/>
    </xf>
    <xf numFmtId="188" fontId="6" fillId="16" borderId="3" xfId="10" applyNumberFormat="1" applyFont="1" applyFill="1" applyBorder="1" applyAlignment="1">
      <alignment horizontal="right"/>
    </xf>
    <xf numFmtId="3" fontId="6" fillId="16" borderId="3" xfId="10" applyNumberFormat="1" applyFont="1" applyFill="1" applyBorder="1" applyAlignment="1">
      <alignment horizontal="center"/>
    </xf>
    <xf numFmtId="188" fontId="6" fillId="2" borderId="10" xfId="10" applyNumberFormat="1" applyFont="1" applyFill="1" applyBorder="1" applyAlignment="1">
      <alignment horizontal="center"/>
    </xf>
    <xf numFmtId="188" fontId="6" fillId="2" borderId="12" xfId="1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188" fontId="6" fillId="0" borderId="10" xfId="10" applyNumberFormat="1" applyFont="1" applyBorder="1" applyAlignment="1">
      <alignment horizontal="center"/>
    </xf>
    <xf numFmtId="188" fontId="6" fillId="0" borderId="12" xfId="10" applyNumberFormat="1" applyFont="1" applyBorder="1" applyAlignment="1">
      <alignment horizontal="center"/>
    </xf>
    <xf numFmtId="0" fontId="8" fillId="8" borderId="1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188" fontId="8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88" fontId="8" fillId="0" borderId="14" xfId="1" applyNumberFormat="1" applyFont="1" applyBorder="1" applyAlignment="1">
      <alignment horizontal="center" vertical="center"/>
    </xf>
    <xf numFmtId="188" fontId="8" fillId="0" borderId="15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0" fontId="6" fillId="0" borderId="21" xfId="3" applyFont="1" applyBorder="1" applyAlignment="1">
      <alignment horizontal="center" vertical="center"/>
    </xf>
    <xf numFmtId="0" fontId="6" fillId="0" borderId="17" xfId="3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88" fontId="8" fillId="0" borderId="11" xfId="1" applyNumberFormat="1" applyFont="1" applyFill="1" applyBorder="1" applyAlignment="1">
      <alignment horizontal="center" vertical="center"/>
    </xf>
    <xf numFmtId="188" fontId="8" fillId="0" borderId="12" xfId="1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89" fontId="8" fillId="0" borderId="14" xfId="1" applyNumberFormat="1" applyFont="1" applyFill="1" applyBorder="1" applyAlignment="1">
      <alignment horizontal="center" vertical="center"/>
    </xf>
    <xf numFmtId="189" fontId="8" fillId="0" borderId="15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88" fontId="6" fillId="16" borderId="6" xfId="4" applyNumberFormat="1" applyFont="1" applyFill="1" applyBorder="1" applyAlignment="1">
      <alignment horizontal="center" vertical="center"/>
    </xf>
    <xf numFmtId="188" fontId="6" fillId="16" borderId="5" xfId="4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87" fontId="6" fillId="16" borderId="6" xfId="4" applyFont="1" applyFill="1" applyBorder="1" applyAlignment="1">
      <alignment horizontal="center"/>
    </xf>
    <xf numFmtId="187" fontId="6" fillId="16" borderId="5" xfId="4" applyFont="1" applyFill="1" applyBorder="1" applyAlignment="1">
      <alignment horizontal="center"/>
    </xf>
    <xf numFmtId="188" fontId="6" fillId="0" borderId="6" xfId="1" applyNumberFormat="1" applyFont="1" applyFill="1" applyBorder="1" applyAlignment="1">
      <alignment horizontal="center" vertical="center"/>
    </xf>
    <xf numFmtId="188" fontId="6" fillId="0" borderId="5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15" fillId="8" borderId="47" xfId="6" applyFont="1" applyFill="1" applyBorder="1" applyAlignment="1">
      <alignment horizontal="center" vertical="center"/>
    </xf>
    <xf numFmtId="9" fontId="15" fillId="8" borderId="48" xfId="6" applyFont="1" applyFill="1" applyBorder="1" applyAlignment="1">
      <alignment horizontal="center" vertical="center"/>
    </xf>
    <xf numFmtId="9" fontId="15" fillId="8" borderId="49" xfId="6" applyFont="1" applyFill="1" applyBorder="1" applyAlignment="1">
      <alignment horizontal="center" vertical="center"/>
    </xf>
    <xf numFmtId="0" fontId="14" fillId="8" borderId="44" xfId="0" applyFont="1" applyFill="1" applyBorder="1" applyAlignment="1">
      <alignment horizontal="center" vertical="center"/>
    </xf>
    <xf numFmtId="0" fontId="14" fillId="8" borderId="45" xfId="0" applyFont="1" applyFill="1" applyBorder="1" applyAlignment="1">
      <alignment horizontal="center" vertical="center"/>
    </xf>
    <xf numFmtId="0" fontId="14" fillId="8" borderId="46" xfId="0" applyFont="1" applyFill="1" applyBorder="1" applyAlignment="1">
      <alignment horizontal="center" vertical="center"/>
    </xf>
    <xf numFmtId="0" fontId="14" fillId="8" borderId="47" xfId="0" applyFont="1" applyFill="1" applyBorder="1" applyAlignment="1">
      <alignment horizontal="center" vertical="center"/>
    </xf>
    <xf numFmtId="0" fontId="14" fillId="8" borderId="48" xfId="0" applyFont="1" applyFill="1" applyBorder="1" applyAlignment="1">
      <alignment horizontal="center" vertical="center"/>
    </xf>
    <xf numFmtId="9" fontId="28" fillId="8" borderId="47" xfId="6" applyFont="1" applyFill="1" applyBorder="1" applyAlignment="1">
      <alignment horizontal="center" vertical="center"/>
    </xf>
    <xf numFmtId="9" fontId="28" fillId="8" borderId="48" xfId="6" applyFont="1" applyFill="1" applyBorder="1" applyAlignment="1">
      <alignment horizontal="center" vertical="center"/>
    </xf>
    <xf numFmtId="9" fontId="15" fillId="8" borderId="67" xfId="5" applyFont="1" applyFill="1" applyBorder="1" applyAlignment="1">
      <alignment horizontal="center" vertical="center"/>
    </xf>
    <xf numFmtId="9" fontId="15" fillId="8" borderId="66" xfId="5" applyFont="1" applyFill="1" applyBorder="1" applyAlignment="1">
      <alignment horizontal="center" vertical="center"/>
    </xf>
    <xf numFmtId="9" fontId="15" fillId="8" borderId="65" xfId="5" applyFont="1" applyFill="1" applyBorder="1" applyAlignment="1">
      <alignment horizontal="center" vertical="center"/>
    </xf>
    <xf numFmtId="9" fontId="15" fillId="8" borderId="71" xfId="5" applyFont="1" applyFill="1" applyBorder="1" applyAlignment="1">
      <alignment horizontal="center" vertical="center"/>
    </xf>
    <xf numFmtId="9" fontId="15" fillId="8" borderId="72" xfId="5" applyFont="1" applyFill="1" applyBorder="1" applyAlignment="1">
      <alignment horizontal="center" vertical="center"/>
    </xf>
    <xf numFmtId="9" fontId="15" fillId="8" borderId="73" xfId="5" applyFont="1" applyFill="1" applyBorder="1" applyAlignment="1">
      <alignment horizontal="center" vertical="center"/>
    </xf>
    <xf numFmtId="9" fontId="15" fillId="8" borderId="68" xfId="5" applyFont="1" applyFill="1" applyBorder="1" applyAlignment="1">
      <alignment horizontal="center" vertical="center"/>
    </xf>
    <xf numFmtId="9" fontId="28" fillId="8" borderId="49" xfId="6" applyFont="1" applyFill="1" applyBorder="1" applyAlignment="1">
      <alignment horizontal="center" vertical="center"/>
    </xf>
    <xf numFmtId="197" fontId="6" fillId="0" borderId="0" xfId="0" applyNumberFormat="1" applyFont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</cellXfs>
  <cellStyles count="11">
    <cellStyle name="Comma 2" xfId="10"/>
    <cellStyle name="Comma 2 2 2" xfId="9"/>
    <cellStyle name="Percent 2" xfId="5"/>
    <cellStyle name="เครื่องหมายจุลภาค" xfId="1" builtinId="3"/>
    <cellStyle name="เครื่องหมายจุลภาค 2" xfId="4"/>
    <cellStyle name="เครื่องหมายจุลภาค_Sheet1 2" xfId="7"/>
    <cellStyle name="เครื่องหมายจุลภาค_แบบ  ปร. 5" xfId="2"/>
    <cellStyle name="ปกติ" xfId="0" builtinId="0"/>
    <cellStyle name="ปกติ_Sheet1" xfId="8"/>
    <cellStyle name="ปกติ_แบบ  ปร. 5" xfId="3"/>
    <cellStyle name="เปอร์เซ็นต์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  <color rgb="FF0000FF"/>
      <color rgb="FF0033CC"/>
      <color rgb="FF006600"/>
      <color rgb="FF0099FF"/>
      <color rgb="FFFFFFCC"/>
      <color rgb="FFDAFEE9"/>
      <color rgb="FFFFFFE5"/>
      <color rgb="FFD6ECF2"/>
      <color rgb="FFBAFB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1057275</xdr:colOff>
      <xdr:row>92</xdr:row>
      <xdr:rowOff>0</xdr:rowOff>
    </xdr:from>
    <xdr:to>
      <xdr:col>1</xdr:col>
      <xdr:colOff>1162050</xdr:colOff>
      <xdr:row>92</xdr:row>
      <xdr:rowOff>0</xdr:rowOff>
    </xdr:to>
    <xdr:sp macro="" textlink="">
      <xdr:nvSpPr>
        <xdr:cNvPr id="2" name="Rectangle 3497"/>
        <xdr:cNvSpPr>
          <a:spLocks noChangeArrowheads="1"/>
        </xdr:cNvSpPr>
      </xdr:nvSpPr>
      <xdr:spPr bwMode="auto">
        <a:xfrm>
          <a:off x="1447800" y="318516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92</xdr:row>
      <xdr:rowOff>0</xdr:rowOff>
    </xdr:from>
    <xdr:to>
      <xdr:col>1</xdr:col>
      <xdr:colOff>1162050</xdr:colOff>
      <xdr:row>92</xdr:row>
      <xdr:rowOff>0</xdr:rowOff>
    </xdr:to>
    <xdr:sp macro="" textlink="">
      <xdr:nvSpPr>
        <xdr:cNvPr id="3" name="Rectangle 7043"/>
        <xdr:cNvSpPr>
          <a:spLocks noChangeArrowheads="1"/>
        </xdr:cNvSpPr>
      </xdr:nvSpPr>
      <xdr:spPr bwMode="auto">
        <a:xfrm>
          <a:off x="1447800" y="318516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96</xdr:row>
      <xdr:rowOff>0</xdr:rowOff>
    </xdr:from>
    <xdr:to>
      <xdr:col>1</xdr:col>
      <xdr:colOff>1162050</xdr:colOff>
      <xdr:row>96</xdr:row>
      <xdr:rowOff>0</xdr:rowOff>
    </xdr:to>
    <xdr:sp macro="" textlink="">
      <xdr:nvSpPr>
        <xdr:cNvPr id="4" name="Rectangle 3497"/>
        <xdr:cNvSpPr>
          <a:spLocks noChangeArrowheads="1"/>
        </xdr:cNvSpPr>
      </xdr:nvSpPr>
      <xdr:spPr bwMode="auto">
        <a:xfrm>
          <a:off x="1447800" y="329184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96</xdr:row>
      <xdr:rowOff>0</xdr:rowOff>
    </xdr:from>
    <xdr:to>
      <xdr:col>1</xdr:col>
      <xdr:colOff>1162050</xdr:colOff>
      <xdr:row>96</xdr:row>
      <xdr:rowOff>0</xdr:rowOff>
    </xdr:to>
    <xdr:sp macro="" textlink="">
      <xdr:nvSpPr>
        <xdr:cNvPr id="5" name="Rectangle 7043"/>
        <xdr:cNvSpPr>
          <a:spLocks noChangeArrowheads="1"/>
        </xdr:cNvSpPr>
      </xdr:nvSpPr>
      <xdr:spPr bwMode="auto">
        <a:xfrm>
          <a:off x="1447800" y="329184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144</xdr:row>
      <xdr:rowOff>0</xdr:rowOff>
    </xdr:from>
    <xdr:to>
      <xdr:col>1</xdr:col>
      <xdr:colOff>1162050</xdr:colOff>
      <xdr:row>144</xdr:row>
      <xdr:rowOff>0</xdr:rowOff>
    </xdr:to>
    <xdr:sp macro="" textlink="">
      <xdr:nvSpPr>
        <xdr:cNvPr id="6" name="Rectangle 3542"/>
        <xdr:cNvSpPr>
          <a:spLocks noChangeArrowheads="1"/>
        </xdr:cNvSpPr>
      </xdr:nvSpPr>
      <xdr:spPr bwMode="auto">
        <a:xfrm>
          <a:off x="1447800" y="495300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144</xdr:row>
      <xdr:rowOff>0</xdr:rowOff>
    </xdr:from>
    <xdr:to>
      <xdr:col>1</xdr:col>
      <xdr:colOff>1162050</xdr:colOff>
      <xdr:row>144</xdr:row>
      <xdr:rowOff>0</xdr:rowOff>
    </xdr:to>
    <xdr:sp macro="" textlink="">
      <xdr:nvSpPr>
        <xdr:cNvPr id="7" name="Rectangle 7088"/>
        <xdr:cNvSpPr>
          <a:spLocks noChangeArrowheads="1"/>
        </xdr:cNvSpPr>
      </xdr:nvSpPr>
      <xdr:spPr bwMode="auto">
        <a:xfrm>
          <a:off x="1447800" y="495300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144</xdr:row>
      <xdr:rowOff>0</xdr:rowOff>
    </xdr:from>
    <xdr:to>
      <xdr:col>1</xdr:col>
      <xdr:colOff>1162050</xdr:colOff>
      <xdr:row>144</xdr:row>
      <xdr:rowOff>0</xdr:rowOff>
    </xdr:to>
    <xdr:sp macro="" textlink="">
      <xdr:nvSpPr>
        <xdr:cNvPr id="8" name="Rectangle 3542"/>
        <xdr:cNvSpPr>
          <a:spLocks noChangeArrowheads="1"/>
        </xdr:cNvSpPr>
      </xdr:nvSpPr>
      <xdr:spPr bwMode="auto">
        <a:xfrm>
          <a:off x="1447800" y="495300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144</xdr:row>
      <xdr:rowOff>0</xdr:rowOff>
    </xdr:from>
    <xdr:to>
      <xdr:col>1</xdr:col>
      <xdr:colOff>1162050</xdr:colOff>
      <xdr:row>144</xdr:row>
      <xdr:rowOff>0</xdr:rowOff>
    </xdr:to>
    <xdr:sp macro="" textlink="">
      <xdr:nvSpPr>
        <xdr:cNvPr id="9" name="Rectangle 7088"/>
        <xdr:cNvSpPr>
          <a:spLocks noChangeArrowheads="1"/>
        </xdr:cNvSpPr>
      </xdr:nvSpPr>
      <xdr:spPr bwMode="auto">
        <a:xfrm>
          <a:off x="1447800" y="495300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160</xdr:row>
      <xdr:rowOff>0</xdr:rowOff>
    </xdr:from>
    <xdr:to>
      <xdr:col>1</xdr:col>
      <xdr:colOff>1162050</xdr:colOff>
      <xdr:row>160</xdr:row>
      <xdr:rowOff>0</xdr:rowOff>
    </xdr:to>
    <xdr:sp macro="" textlink="">
      <xdr:nvSpPr>
        <xdr:cNvPr id="10" name="Rectangle 3542"/>
        <xdr:cNvSpPr>
          <a:spLocks noChangeArrowheads="1"/>
        </xdr:cNvSpPr>
      </xdr:nvSpPr>
      <xdr:spPr bwMode="auto">
        <a:xfrm>
          <a:off x="1447800" y="55711725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160</xdr:row>
      <xdr:rowOff>0</xdr:rowOff>
    </xdr:from>
    <xdr:to>
      <xdr:col>1</xdr:col>
      <xdr:colOff>1162050</xdr:colOff>
      <xdr:row>160</xdr:row>
      <xdr:rowOff>0</xdr:rowOff>
    </xdr:to>
    <xdr:sp macro="" textlink="">
      <xdr:nvSpPr>
        <xdr:cNvPr id="11" name="Rectangle 7088"/>
        <xdr:cNvSpPr>
          <a:spLocks noChangeArrowheads="1"/>
        </xdr:cNvSpPr>
      </xdr:nvSpPr>
      <xdr:spPr bwMode="auto">
        <a:xfrm>
          <a:off x="1447800" y="55711725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178</xdr:row>
      <xdr:rowOff>0</xdr:rowOff>
    </xdr:from>
    <xdr:to>
      <xdr:col>1</xdr:col>
      <xdr:colOff>1162050</xdr:colOff>
      <xdr:row>178</xdr:row>
      <xdr:rowOff>0</xdr:rowOff>
    </xdr:to>
    <xdr:sp macro="" textlink="">
      <xdr:nvSpPr>
        <xdr:cNvPr id="12" name="Rectangle 3560"/>
        <xdr:cNvSpPr>
          <a:spLocks noChangeArrowheads="1"/>
        </xdr:cNvSpPr>
      </xdr:nvSpPr>
      <xdr:spPr bwMode="auto">
        <a:xfrm>
          <a:off x="1447800" y="624078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178</xdr:row>
      <xdr:rowOff>0</xdr:rowOff>
    </xdr:from>
    <xdr:to>
      <xdr:col>1</xdr:col>
      <xdr:colOff>1162050</xdr:colOff>
      <xdr:row>178</xdr:row>
      <xdr:rowOff>0</xdr:rowOff>
    </xdr:to>
    <xdr:sp macro="" textlink="">
      <xdr:nvSpPr>
        <xdr:cNvPr id="13" name="Rectangle 7106"/>
        <xdr:cNvSpPr>
          <a:spLocks noChangeArrowheads="1"/>
        </xdr:cNvSpPr>
      </xdr:nvSpPr>
      <xdr:spPr bwMode="auto">
        <a:xfrm>
          <a:off x="1447800" y="624078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178</xdr:row>
      <xdr:rowOff>0</xdr:rowOff>
    </xdr:from>
    <xdr:to>
      <xdr:col>1</xdr:col>
      <xdr:colOff>1162050</xdr:colOff>
      <xdr:row>178</xdr:row>
      <xdr:rowOff>0</xdr:rowOff>
    </xdr:to>
    <xdr:sp macro="" textlink="">
      <xdr:nvSpPr>
        <xdr:cNvPr id="14" name="Rectangle 3560"/>
        <xdr:cNvSpPr>
          <a:spLocks noChangeArrowheads="1"/>
        </xdr:cNvSpPr>
      </xdr:nvSpPr>
      <xdr:spPr bwMode="auto">
        <a:xfrm>
          <a:off x="1447800" y="624078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178</xdr:row>
      <xdr:rowOff>0</xdr:rowOff>
    </xdr:from>
    <xdr:to>
      <xdr:col>1</xdr:col>
      <xdr:colOff>1162050</xdr:colOff>
      <xdr:row>178</xdr:row>
      <xdr:rowOff>0</xdr:rowOff>
    </xdr:to>
    <xdr:sp macro="" textlink="">
      <xdr:nvSpPr>
        <xdr:cNvPr id="15" name="Rectangle 7106"/>
        <xdr:cNvSpPr>
          <a:spLocks noChangeArrowheads="1"/>
        </xdr:cNvSpPr>
      </xdr:nvSpPr>
      <xdr:spPr bwMode="auto">
        <a:xfrm>
          <a:off x="1447800" y="624078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92</xdr:row>
      <xdr:rowOff>0</xdr:rowOff>
    </xdr:from>
    <xdr:to>
      <xdr:col>1</xdr:col>
      <xdr:colOff>1162050</xdr:colOff>
      <xdr:row>92</xdr:row>
      <xdr:rowOff>0</xdr:rowOff>
    </xdr:to>
    <xdr:sp macro="" textlink="">
      <xdr:nvSpPr>
        <xdr:cNvPr id="16" name="Rectangle 3497"/>
        <xdr:cNvSpPr>
          <a:spLocks noChangeArrowheads="1"/>
        </xdr:cNvSpPr>
      </xdr:nvSpPr>
      <xdr:spPr bwMode="auto">
        <a:xfrm>
          <a:off x="1752600" y="229171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92</xdr:row>
      <xdr:rowOff>0</xdr:rowOff>
    </xdr:from>
    <xdr:to>
      <xdr:col>1</xdr:col>
      <xdr:colOff>1162050</xdr:colOff>
      <xdr:row>92</xdr:row>
      <xdr:rowOff>0</xdr:rowOff>
    </xdr:to>
    <xdr:sp macro="" textlink="">
      <xdr:nvSpPr>
        <xdr:cNvPr id="17" name="Rectangle 7043"/>
        <xdr:cNvSpPr>
          <a:spLocks noChangeArrowheads="1"/>
        </xdr:cNvSpPr>
      </xdr:nvSpPr>
      <xdr:spPr bwMode="auto">
        <a:xfrm>
          <a:off x="1752600" y="229171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96</xdr:row>
      <xdr:rowOff>0</xdr:rowOff>
    </xdr:from>
    <xdr:to>
      <xdr:col>1</xdr:col>
      <xdr:colOff>1162050</xdr:colOff>
      <xdr:row>96</xdr:row>
      <xdr:rowOff>0</xdr:rowOff>
    </xdr:to>
    <xdr:sp macro="" textlink="">
      <xdr:nvSpPr>
        <xdr:cNvPr id="18" name="Rectangle 3497"/>
        <xdr:cNvSpPr>
          <a:spLocks noChangeArrowheads="1"/>
        </xdr:cNvSpPr>
      </xdr:nvSpPr>
      <xdr:spPr bwMode="auto">
        <a:xfrm>
          <a:off x="1752600" y="239077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96</xdr:row>
      <xdr:rowOff>0</xdr:rowOff>
    </xdr:from>
    <xdr:to>
      <xdr:col>1</xdr:col>
      <xdr:colOff>1162050</xdr:colOff>
      <xdr:row>96</xdr:row>
      <xdr:rowOff>0</xdr:rowOff>
    </xdr:to>
    <xdr:sp macro="" textlink="">
      <xdr:nvSpPr>
        <xdr:cNvPr id="19" name="Rectangle 7043"/>
        <xdr:cNvSpPr>
          <a:spLocks noChangeArrowheads="1"/>
        </xdr:cNvSpPr>
      </xdr:nvSpPr>
      <xdr:spPr bwMode="auto">
        <a:xfrm>
          <a:off x="1752600" y="239077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147</xdr:row>
      <xdr:rowOff>0</xdr:rowOff>
    </xdr:from>
    <xdr:to>
      <xdr:col>1</xdr:col>
      <xdr:colOff>1162050</xdr:colOff>
      <xdr:row>147</xdr:row>
      <xdr:rowOff>0</xdr:rowOff>
    </xdr:to>
    <xdr:sp macro="" textlink="">
      <xdr:nvSpPr>
        <xdr:cNvPr id="20" name="Rectangle 3542"/>
        <xdr:cNvSpPr>
          <a:spLocks noChangeArrowheads="1"/>
        </xdr:cNvSpPr>
      </xdr:nvSpPr>
      <xdr:spPr bwMode="auto">
        <a:xfrm>
          <a:off x="1752600" y="365379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147</xdr:row>
      <xdr:rowOff>0</xdr:rowOff>
    </xdr:from>
    <xdr:to>
      <xdr:col>1</xdr:col>
      <xdr:colOff>1162050</xdr:colOff>
      <xdr:row>147</xdr:row>
      <xdr:rowOff>0</xdr:rowOff>
    </xdr:to>
    <xdr:sp macro="" textlink="">
      <xdr:nvSpPr>
        <xdr:cNvPr id="21" name="Rectangle 7088"/>
        <xdr:cNvSpPr>
          <a:spLocks noChangeArrowheads="1"/>
        </xdr:cNvSpPr>
      </xdr:nvSpPr>
      <xdr:spPr bwMode="auto">
        <a:xfrm>
          <a:off x="1752600" y="365379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147</xdr:row>
      <xdr:rowOff>0</xdr:rowOff>
    </xdr:from>
    <xdr:to>
      <xdr:col>1</xdr:col>
      <xdr:colOff>1162050</xdr:colOff>
      <xdr:row>147</xdr:row>
      <xdr:rowOff>0</xdr:rowOff>
    </xdr:to>
    <xdr:sp macro="" textlink="">
      <xdr:nvSpPr>
        <xdr:cNvPr id="22" name="Rectangle 3542"/>
        <xdr:cNvSpPr>
          <a:spLocks noChangeArrowheads="1"/>
        </xdr:cNvSpPr>
      </xdr:nvSpPr>
      <xdr:spPr bwMode="auto">
        <a:xfrm>
          <a:off x="1752600" y="365379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147</xdr:row>
      <xdr:rowOff>0</xdr:rowOff>
    </xdr:from>
    <xdr:to>
      <xdr:col>1</xdr:col>
      <xdr:colOff>1162050</xdr:colOff>
      <xdr:row>147</xdr:row>
      <xdr:rowOff>0</xdr:rowOff>
    </xdr:to>
    <xdr:sp macro="" textlink="">
      <xdr:nvSpPr>
        <xdr:cNvPr id="23" name="Rectangle 7088"/>
        <xdr:cNvSpPr>
          <a:spLocks noChangeArrowheads="1"/>
        </xdr:cNvSpPr>
      </xdr:nvSpPr>
      <xdr:spPr bwMode="auto">
        <a:xfrm>
          <a:off x="1752600" y="365379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160</xdr:row>
      <xdr:rowOff>0</xdr:rowOff>
    </xdr:from>
    <xdr:to>
      <xdr:col>1</xdr:col>
      <xdr:colOff>1162050</xdr:colOff>
      <xdr:row>160</xdr:row>
      <xdr:rowOff>0</xdr:rowOff>
    </xdr:to>
    <xdr:sp macro="" textlink="">
      <xdr:nvSpPr>
        <xdr:cNvPr id="24" name="Rectangle 3542"/>
        <xdr:cNvSpPr>
          <a:spLocks noChangeArrowheads="1"/>
        </xdr:cNvSpPr>
      </xdr:nvSpPr>
      <xdr:spPr bwMode="auto">
        <a:xfrm>
          <a:off x="1752600" y="397573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160</xdr:row>
      <xdr:rowOff>0</xdr:rowOff>
    </xdr:from>
    <xdr:to>
      <xdr:col>1</xdr:col>
      <xdr:colOff>1162050</xdr:colOff>
      <xdr:row>160</xdr:row>
      <xdr:rowOff>0</xdr:rowOff>
    </xdr:to>
    <xdr:sp macro="" textlink="">
      <xdr:nvSpPr>
        <xdr:cNvPr id="25" name="Rectangle 7088"/>
        <xdr:cNvSpPr>
          <a:spLocks noChangeArrowheads="1"/>
        </xdr:cNvSpPr>
      </xdr:nvSpPr>
      <xdr:spPr bwMode="auto">
        <a:xfrm>
          <a:off x="1752600" y="397573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2" name="Line 2078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3" name="Line 2079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4" name="Line 2080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5" name="Line 2081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6" name="Line 2082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7" name="Line 2083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8" name="Line 2084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9" name="Line 2085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" name="Line 2078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1" name="Line 2079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2" name="Line 2080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3" name="Line 2081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4" name="Line 2082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5" name="Line 2083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6" name="Line 2084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7" name="Line 2085"/>
        <xdr:cNvSpPr>
          <a:spLocks noChangeShapeType="1"/>
        </xdr:cNvSpPr>
      </xdr:nvSpPr>
      <xdr:spPr bwMode="auto">
        <a:xfrm>
          <a:off x="8248650" y="3371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1057275</xdr:colOff>
      <xdr:row>164</xdr:row>
      <xdr:rowOff>0</xdr:rowOff>
    </xdr:from>
    <xdr:to>
      <xdr:col>1</xdr:col>
      <xdr:colOff>1162050</xdr:colOff>
      <xdr:row>164</xdr:row>
      <xdr:rowOff>0</xdr:rowOff>
    </xdr:to>
    <xdr:sp macro="" textlink="">
      <xdr:nvSpPr>
        <xdr:cNvPr id="18" name="Rectangle 14426"/>
        <xdr:cNvSpPr>
          <a:spLocks noChangeArrowheads="1"/>
        </xdr:cNvSpPr>
      </xdr:nvSpPr>
      <xdr:spPr bwMode="auto">
        <a:xfrm>
          <a:off x="1447800" y="548449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167</xdr:row>
      <xdr:rowOff>0</xdr:rowOff>
    </xdr:from>
    <xdr:to>
      <xdr:col>1</xdr:col>
      <xdr:colOff>1162050</xdr:colOff>
      <xdr:row>167</xdr:row>
      <xdr:rowOff>0</xdr:rowOff>
    </xdr:to>
    <xdr:sp macro="" textlink="">
      <xdr:nvSpPr>
        <xdr:cNvPr id="19" name="Rectangle 14426"/>
        <xdr:cNvSpPr>
          <a:spLocks noChangeArrowheads="1"/>
        </xdr:cNvSpPr>
      </xdr:nvSpPr>
      <xdr:spPr bwMode="auto">
        <a:xfrm>
          <a:off x="1447800" y="556450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167</xdr:row>
      <xdr:rowOff>0</xdr:rowOff>
    </xdr:from>
    <xdr:to>
      <xdr:col>1</xdr:col>
      <xdr:colOff>1162050</xdr:colOff>
      <xdr:row>167</xdr:row>
      <xdr:rowOff>0</xdr:rowOff>
    </xdr:to>
    <xdr:sp macro="" textlink="">
      <xdr:nvSpPr>
        <xdr:cNvPr id="20" name="Rectangle 14426"/>
        <xdr:cNvSpPr>
          <a:spLocks noChangeArrowheads="1"/>
        </xdr:cNvSpPr>
      </xdr:nvSpPr>
      <xdr:spPr bwMode="auto">
        <a:xfrm>
          <a:off x="1447800" y="556450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93</xdr:row>
      <xdr:rowOff>0</xdr:rowOff>
    </xdr:from>
    <xdr:to>
      <xdr:col>1</xdr:col>
      <xdr:colOff>1162050</xdr:colOff>
      <xdr:row>93</xdr:row>
      <xdr:rowOff>0</xdr:rowOff>
    </xdr:to>
    <xdr:sp macro="" textlink="">
      <xdr:nvSpPr>
        <xdr:cNvPr id="21" name="Rectangle 3497"/>
        <xdr:cNvSpPr>
          <a:spLocks noChangeArrowheads="1"/>
        </xdr:cNvSpPr>
      </xdr:nvSpPr>
      <xdr:spPr bwMode="auto">
        <a:xfrm>
          <a:off x="1752600" y="227266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93</xdr:row>
      <xdr:rowOff>0</xdr:rowOff>
    </xdr:from>
    <xdr:to>
      <xdr:col>1</xdr:col>
      <xdr:colOff>1162050</xdr:colOff>
      <xdr:row>93</xdr:row>
      <xdr:rowOff>0</xdr:rowOff>
    </xdr:to>
    <xdr:sp macro="" textlink="">
      <xdr:nvSpPr>
        <xdr:cNvPr id="22" name="Rectangle 7043"/>
        <xdr:cNvSpPr>
          <a:spLocks noChangeArrowheads="1"/>
        </xdr:cNvSpPr>
      </xdr:nvSpPr>
      <xdr:spPr bwMode="auto">
        <a:xfrm>
          <a:off x="1752600" y="227266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97</xdr:row>
      <xdr:rowOff>0</xdr:rowOff>
    </xdr:from>
    <xdr:to>
      <xdr:col>1</xdr:col>
      <xdr:colOff>1162050</xdr:colOff>
      <xdr:row>97</xdr:row>
      <xdr:rowOff>0</xdr:rowOff>
    </xdr:to>
    <xdr:sp macro="" textlink="">
      <xdr:nvSpPr>
        <xdr:cNvPr id="23" name="Rectangle 3497"/>
        <xdr:cNvSpPr>
          <a:spLocks noChangeArrowheads="1"/>
        </xdr:cNvSpPr>
      </xdr:nvSpPr>
      <xdr:spPr bwMode="auto">
        <a:xfrm>
          <a:off x="1752600" y="237172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97</xdr:row>
      <xdr:rowOff>0</xdr:rowOff>
    </xdr:from>
    <xdr:to>
      <xdr:col>1</xdr:col>
      <xdr:colOff>1162050</xdr:colOff>
      <xdr:row>97</xdr:row>
      <xdr:rowOff>0</xdr:rowOff>
    </xdr:to>
    <xdr:sp macro="" textlink="">
      <xdr:nvSpPr>
        <xdr:cNvPr id="24" name="Rectangle 7043"/>
        <xdr:cNvSpPr>
          <a:spLocks noChangeArrowheads="1"/>
        </xdr:cNvSpPr>
      </xdr:nvSpPr>
      <xdr:spPr bwMode="auto">
        <a:xfrm>
          <a:off x="1752600" y="237172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155</xdr:row>
      <xdr:rowOff>0</xdr:rowOff>
    </xdr:from>
    <xdr:to>
      <xdr:col>1</xdr:col>
      <xdr:colOff>1162050</xdr:colOff>
      <xdr:row>155</xdr:row>
      <xdr:rowOff>0</xdr:rowOff>
    </xdr:to>
    <xdr:sp macro="" textlink="">
      <xdr:nvSpPr>
        <xdr:cNvPr id="25" name="Rectangle 3542"/>
        <xdr:cNvSpPr>
          <a:spLocks noChangeArrowheads="1"/>
        </xdr:cNvSpPr>
      </xdr:nvSpPr>
      <xdr:spPr bwMode="auto">
        <a:xfrm>
          <a:off x="1752600" y="380809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155</xdr:row>
      <xdr:rowOff>0</xdr:rowOff>
    </xdr:from>
    <xdr:to>
      <xdr:col>1</xdr:col>
      <xdr:colOff>1162050</xdr:colOff>
      <xdr:row>155</xdr:row>
      <xdr:rowOff>0</xdr:rowOff>
    </xdr:to>
    <xdr:sp macro="" textlink="">
      <xdr:nvSpPr>
        <xdr:cNvPr id="26" name="Rectangle 7088"/>
        <xdr:cNvSpPr>
          <a:spLocks noChangeArrowheads="1"/>
        </xdr:cNvSpPr>
      </xdr:nvSpPr>
      <xdr:spPr bwMode="auto">
        <a:xfrm>
          <a:off x="1752600" y="380809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155</xdr:row>
      <xdr:rowOff>0</xdr:rowOff>
    </xdr:from>
    <xdr:to>
      <xdr:col>1</xdr:col>
      <xdr:colOff>1162050</xdr:colOff>
      <xdr:row>155</xdr:row>
      <xdr:rowOff>0</xdr:rowOff>
    </xdr:to>
    <xdr:sp macro="" textlink="">
      <xdr:nvSpPr>
        <xdr:cNvPr id="27" name="Rectangle 3542"/>
        <xdr:cNvSpPr>
          <a:spLocks noChangeArrowheads="1"/>
        </xdr:cNvSpPr>
      </xdr:nvSpPr>
      <xdr:spPr bwMode="auto">
        <a:xfrm>
          <a:off x="1752600" y="380809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155</xdr:row>
      <xdr:rowOff>0</xdr:rowOff>
    </xdr:from>
    <xdr:to>
      <xdr:col>1</xdr:col>
      <xdr:colOff>1162050</xdr:colOff>
      <xdr:row>155</xdr:row>
      <xdr:rowOff>0</xdr:rowOff>
    </xdr:to>
    <xdr:sp macro="" textlink="">
      <xdr:nvSpPr>
        <xdr:cNvPr id="28" name="Rectangle 7088"/>
        <xdr:cNvSpPr>
          <a:spLocks noChangeArrowheads="1"/>
        </xdr:cNvSpPr>
      </xdr:nvSpPr>
      <xdr:spPr bwMode="auto">
        <a:xfrm>
          <a:off x="1752600" y="380809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162</xdr:row>
      <xdr:rowOff>0</xdr:rowOff>
    </xdr:from>
    <xdr:to>
      <xdr:col>1</xdr:col>
      <xdr:colOff>1162050</xdr:colOff>
      <xdr:row>162</xdr:row>
      <xdr:rowOff>0</xdr:rowOff>
    </xdr:to>
    <xdr:sp macro="" textlink="">
      <xdr:nvSpPr>
        <xdr:cNvPr id="29" name="Rectangle 3542"/>
        <xdr:cNvSpPr>
          <a:spLocks noChangeArrowheads="1"/>
        </xdr:cNvSpPr>
      </xdr:nvSpPr>
      <xdr:spPr bwMode="auto">
        <a:xfrm>
          <a:off x="1752600" y="398145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162</xdr:row>
      <xdr:rowOff>0</xdr:rowOff>
    </xdr:from>
    <xdr:to>
      <xdr:col>1</xdr:col>
      <xdr:colOff>1162050</xdr:colOff>
      <xdr:row>162</xdr:row>
      <xdr:rowOff>0</xdr:rowOff>
    </xdr:to>
    <xdr:sp macro="" textlink="">
      <xdr:nvSpPr>
        <xdr:cNvPr id="30" name="Rectangle 7088"/>
        <xdr:cNvSpPr>
          <a:spLocks noChangeArrowheads="1"/>
        </xdr:cNvSpPr>
      </xdr:nvSpPr>
      <xdr:spPr bwMode="auto">
        <a:xfrm>
          <a:off x="1752600" y="398145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1" name="Line 2078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2" name="Line 2079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3" name="Line 2080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4" name="Line 2081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5" name="Line 2082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6" name="Line 2083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7" name="Line 2084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8" name="Line 2085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39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0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1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2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3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4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5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6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7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8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49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50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51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52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53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54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55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56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57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58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59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0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1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2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3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4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5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6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7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8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69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70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1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2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3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4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5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6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7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8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79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0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1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2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3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4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5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86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87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88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89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0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1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2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3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4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5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6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7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8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99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0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1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2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3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4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5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6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7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8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09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0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1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2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4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5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6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1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2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3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4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5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6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7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8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9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30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31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32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33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34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35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36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37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38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39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0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1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2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3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4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5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6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7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8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49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50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1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2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3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4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5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6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7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8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59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0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1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2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3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4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5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66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67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68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69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0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1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2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3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4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5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6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7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8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79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80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81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82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3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4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5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6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7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8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89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0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1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2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3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4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5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6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7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98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99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0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1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2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3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4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5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06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0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0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0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5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6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7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8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19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20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21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22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2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3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3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39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0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1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2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3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4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5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6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7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8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49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50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51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52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53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254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55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56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57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58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59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60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61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262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3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4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5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6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7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8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69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270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1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2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3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4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5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6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7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8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79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0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1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2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3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4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5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86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8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8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8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9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9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9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9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29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95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96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97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98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299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00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01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02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3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4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5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6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7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8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09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0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1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19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0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1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2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3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4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5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26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27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28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29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30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31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32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33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34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35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36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37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38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39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0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1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2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3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4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5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6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7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8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49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50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5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59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0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1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2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3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4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5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366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6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6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6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5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6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7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8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79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80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81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382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8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39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1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2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3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4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5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6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7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8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399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0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1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2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3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4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5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06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07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08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09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10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11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12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13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14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15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16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17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18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19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20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21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22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3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4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5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6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7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8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29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0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1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2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3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4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5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6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7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438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39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0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1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2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3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4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5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6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4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5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5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5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5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45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55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56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57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58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59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0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1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2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6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7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1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2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3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4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5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6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7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78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79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0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1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2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3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4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5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486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87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88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89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0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1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2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3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4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5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6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7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8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499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00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01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02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3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4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5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6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7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8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9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0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1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2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3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4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5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6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7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18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19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0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1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2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3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4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5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26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2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2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2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5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6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7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8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39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40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41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42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4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5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5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59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0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1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2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3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4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5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6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7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8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69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70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71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72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73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574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75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76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77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78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79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80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81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582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3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4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5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6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7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8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89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590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599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0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1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2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3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4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5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06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07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08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09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10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11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12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13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14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15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16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17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18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19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20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21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22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2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1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2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3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4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5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6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7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638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39" name="Line 2078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0" name="Line 2079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1" name="Line 2080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2" name="Line 2081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3" name="Line 2082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4" name="Line 2083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5" name="Line 2084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175</xdr:row>
      <xdr:rowOff>0</xdr:rowOff>
    </xdr:from>
    <xdr:to>
      <xdr:col>8</xdr:col>
      <xdr:colOff>0</xdr:colOff>
      <xdr:row>175</xdr:row>
      <xdr:rowOff>0</xdr:rowOff>
    </xdr:to>
    <xdr:sp macro="" textlink="">
      <xdr:nvSpPr>
        <xdr:cNvPr id="646" name="Line 2085"/>
        <xdr:cNvSpPr>
          <a:spLocks noChangeShapeType="1"/>
        </xdr:cNvSpPr>
      </xdr:nvSpPr>
      <xdr:spPr bwMode="auto">
        <a:xfrm>
          <a:off x="8601075" y="4303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47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48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49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50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51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52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53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654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55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56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57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58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59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0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1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2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3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4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5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6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7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8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69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70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1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2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3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4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5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6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7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78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79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0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1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2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3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4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5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686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87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88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89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0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1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2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3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4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5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6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7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8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699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700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701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702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3" name="Line 2078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4" name="Line 2079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5" name="Line 2080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6" name="Line 2081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7" name="Line 2082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8" name="Line 2083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09" name="Line 2084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174</xdr:row>
      <xdr:rowOff>0</xdr:rowOff>
    </xdr:from>
    <xdr:to>
      <xdr:col>8</xdr:col>
      <xdr:colOff>0</xdr:colOff>
      <xdr:row>174</xdr:row>
      <xdr:rowOff>0</xdr:rowOff>
    </xdr:to>
    <xdr:sp macro="" textlink="">
      <xdr:nvSpPr>
        <xdr:cNvPr id="710" name="Line 2085"/>
        <xdr:cNvSpPr>
          <a:spLocks noChangeShapeType="1"/>
        </xdr:cNvSpPr>
      </xdr:nvSpPr>
      <xdr:spPr bwMode="auto">
        <a:xfrm>
          <a:off x="8601075" y="4278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1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2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27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28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29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0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1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2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3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4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5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6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7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8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39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40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41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742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3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4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5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6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7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8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49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0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75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59" name="Line 2078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0" name="Line 2079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1" name="Line 2080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2" name="Line 2081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3" name="Line 2082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4" name="Line 2083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5" name="Line 2084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6" name="Line 2085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7" name="Line 2078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8" name="Line 2079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69" name="Line 2080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70" name="Line 2081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71" name="Line 2082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72" name="Line 2083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73" name="Line 2084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774" name="Line 2085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75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76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77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78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79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0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1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2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3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4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5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6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7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8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89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790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1" name="Line 2078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2" name="Line 2079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3" name="Line 2080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4" name="Line 2081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5" name="Line 2082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6" name="Line 2083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7" name="Line 2084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8" name="Line 2085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799" name="Line 2078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0" name="Line 2079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1" name="Line 2080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2" name="Line 2081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3" name="Line 2082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4" name="Line 2083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5" name="Line 2084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806" name="Line 2085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07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08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09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0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1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2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3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4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5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6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7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8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19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20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21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822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3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4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5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6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7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8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29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0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3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7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8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49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50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51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52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53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54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55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56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57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58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59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0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1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2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3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4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5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6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7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8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69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870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7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7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8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89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0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1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2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3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4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5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6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7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8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899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00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01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02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3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4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5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6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7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8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09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0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1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2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3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4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5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6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7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18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1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7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8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29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30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31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32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33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34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35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36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37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38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39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0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1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2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3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4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5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6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7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8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49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50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5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6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67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68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69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0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1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2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3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4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5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6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7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8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79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80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81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982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3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4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5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6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7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8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89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0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1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2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3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4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5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6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7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8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999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0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1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2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3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4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5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6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7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8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09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10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11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12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13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014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15" name="Line 2078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16" name="Line 2079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17" name="Line 2080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18" name="Line 2081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19" name="Line 2082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0" name="Line 2083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1" name="Line 2084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2" name="Line 2085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3" name="Line 2078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4" name="Line 2079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5" name="Line 2080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6" name="Line 2081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7" name="Line 2082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8" name="Line 2083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29" name="Line 2084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1030" name="Line 2085"/>
        <xdr:cNvSpPr>
          <a:spLocks noChangeShapeType="1"/>
        </xdr:cNvSpPr>
      </xdr:nvSpPr>
      <xdr:spPr bwMode="auto">
        <a:xfrm>
          <a:off x="8601075" y="2569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1057275</xdr:colOff>
      <xdr:row>97</xdr:row>
      <xdr:rowOff>0</xdr:rowOff>
    </xdr:from>
    <xdr:to>
      <xdr:col>1</xdr:col>
      <xdr:colOff>1162050</xdr:colOff>
      <xdr:row>97</xdr:row>
      <xdr:rowOff>0</xdr:rowOff>
    </xdr:to>
    <xdr:sp macro="" textlink="">
      <xdr:nvSpPr>
        <xdr:cNvPr id="1031" name="Rectangle 3497"/>
        <xdr:cNvSpPr>
          <a:spLocks noChangeArrowheads="1"/>
        </xdr:cNvSpPr>
      </xdr:nvSpPr>
      <xdr:spPr bwMode="auto">
        <a:xfrm>
          <a:off x="1752600" y="237172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97</xdr:row>
      <xdr:rowOff>0</xdr:rowOff>
    </xdr:from>
    <xdr:to>
      <xdr:col>1</xdr:col>
      <xdr:colOff>1162050</xdr:colOff>
      <xdr:row>97</xdr:row>
      <xdr:rowOff>0</xdr:rowOff>
    </xdr:to>
    <xdr:sp macro="" textlink="">
      <xdr:nvSpPr>
        <xdr:cNvPr id="1032" name="Rectangle 7043"/>
        <xdr:cNvSpPr>
          <a:spLocks noChangeArrowheads="1"/>
        </xdr:cNvSpPr>
      </xdr:nvSpPr>
      <xdr:spPr bwMode="auto">
        <a:xfrm>
          <a:off x="1752600" y="237172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3" name="Line 2078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4" name="Line 2079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5" name="Line 2080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6" name="Line 2081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7" name="Line 2082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8" name="Line 2083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39" name="Line 2084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0" name="Line 2085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1" name="Line 2078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2" name="Line 2079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3" name="Line 2080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4" name="Line 2081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5" name="Line 2082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6" name="Line 2083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7" name="Line 2084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0</xdr:colOff>
      <xdr:row>108</xdr:row>
      <xdr:rowOff>0</xdr:rowOff>
    </xdr:to>
    <xdr:sp macro="" textlink="">
      <xdr:nvSpPr>
        <xdr:cNvPr id="1048" name="Line 2085"/>
        <xdr:cNvSpPr>
          <a:spLocks noChangeShapeType="1"/>
        </xdr:cNvSpPr>
      </xdr:nvSpPr>
      <xdr:spPr bwMode="auto">
        <a:xfrm>
          <a:off x="8601075" y="2644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49" name="Line 2078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0" name="Line 2079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1" name="Line 2080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2" name="Line 2081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3" name="Line 2082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4" name="Line 2083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5" name="Line 2084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1056" name="Line 2085"/>
        <xdr:cNvSpPr>
          <a:spLocks noChangeShapeType="1"/>
        </xdr:cNvSpPr>
      </xdr:nvSpPr>
      <xdr:spPr bwMode="auto">
        <a:xfrm>
          <a:off x="8601075" y="3560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1057275</xdr:colOff>
      <xdr:row>164</xdr:row>
      <xdr:rowOff>0</xdr:rowOff>
    </xdr:from>
    <xdr:to>
      <xdr:col>1</xdr:col>
      <xdr:colOff>1162050</xdr:colOff>
      <xdr:row>164</xdr:row>
      <xdr:rowOff>0</xdr:rowOff>
    </xdr:to>
    <xdr:sp macro="" textlink="">
      <xdr:nvSpPr>
        <xdr:cNvPr id="1057" name="Rectangle 14426"/>
        <xdr:cNvSpPr>
          <a:spLocks noChangeArrowheads="1"/>
        </xdr:cNvSpPr>
      </xdr:nvSpPr>
      <xdr:spPr bwMode="auto">
        <a:xfrm>
          <a:off x="1752600" y="403098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167</xdr:row>
      <xdr:rowOff>0</xdr:rowOff>
    </xdr:from>
    <xdr:to>
      <xdr:col>1</xdr:col>
      <xdr:colOff>1162050</xdr:colOff>
      <xdr:row>167</xdr:row>
      <xdr:rowOff>0</xdr:rowOff>
    </xdr:to>
    <xdr:sp macro="" textlink="">
      <xdr:nvSpPr>
        <xdr:cNvPr id="1058" name="Rectangle 14426"/>
        <xdr:cNvSpPr>
          <a:spLocks noChangeArrowheads="1"/>
        </xdr:cNvSpPr>
      </xdr:nvSpPr>
      <xdr:spPr bwMode="auto">
        <a:xfrm>
          <a:off x="1752600" y="410527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167</xdr:row>
      <xdr:rowOff>0</xdr:rowOff>
    </xdr:from>
    <xdr:to>
      <xdr:col>1</xdr:col>
      <xdr:colOff>1162050</xdr:colOff>
      <xdr:row>167</xdr:row>
      <xdr:rowOff>0</xdr:rowOff>
    </xdr:to>
    <xdr:sp macro="" textlink="">
      <xdr:nvSpPr>
        <xdr:cNvPr id="1059" name="Rectangle 14426"/>
        <xdr:cNvSpPr>
          <a:spLocks noChangeArrowheads="1"/>
        </xdr:cNvSpPr>
      </xdr:nvSpPr>
      <xdr:spPr bwMode="auto">
        <a:xfrm>
          <a:off x="1752600" y="4105275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162</xdr:row>
      <xdr:rowOff>0</xdr:rowOff>
    </xdr:from>
    <xdr:to>
      <xdr:col>1</xdr:col>
      <xdr:colOff>1162050</xdr:colOff>
      <xdr:row>162</xdr:row>
      <xdr:rowOff>0</xdr:rowOff>
    </xdr:to>
    <xdr:sp macro="" textlink="">
      <xdr:nvSpPr>
        <xdr:cNvPr id="1060" name="Rectangle 3542"/>
        <xdr:cNvSpPr>
          <a:spLocks noChangeArrowheads="1"/>
        </xdr:cNvSpPr>
      </xdr:nvSpPr>
      <xdr:spPr bwMode="auto">
        <a:xfrm>
          <a:off x="1752600" y="398145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162</xdr:row>
      <xdr:rowOff>0</xdr:rowOff>
    </xdr:from>
    <xdr:to>
      <xdr:col>1</xdr:col>
      <xdr:colOff>1162050</xdr:colOff>
      <xdr:row>162</xdr:row>
      <xdr:rowOff>0</xdr:rowOff>
    </xdr:to>
    <xdr:sp macro="" textlink="">
      <xdr:nvSpPr>
        <xdr:cNvPr id="1061" name="Rectangle 7088"/>
        <xdr:cNvSpPr>
          <a:spLocks noChangeArrowheads="1"/>
        </xdr:cNvSpPr>
      </xdr:nvSpPr>
      <xdr:spPr bwMode="auto">
        <a:xfrm>
          <a:off x="1752600" y="39814500"/>
          <a:ext cx="104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2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3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4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5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6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7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8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69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0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1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2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3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4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5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6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77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78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79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0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1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2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3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4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5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6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7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8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89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90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91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92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093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4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5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6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7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8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099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0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1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2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3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4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5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6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7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8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09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0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1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2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3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4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5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6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7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8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19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0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1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2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3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4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25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26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27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28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29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0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1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2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3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4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5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6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7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8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39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40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41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2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3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4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5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6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7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8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49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0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1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2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3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4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5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6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57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58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59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0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1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2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3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4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5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6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7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8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69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70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71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72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173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4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5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6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7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8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79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0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1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2" name="Line 2078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3" name="Line 2079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4" name="Line 2080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5" name="Line 2081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6" name="Line 2082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7" name="Line 2083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8" name="Line 2084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160</xdr:row>
      <xdr:rowOff>0</xdr:rowOff>
    </xdr:from>
    <xdr:to>
      <xdr:col>8</xdr:col>
      <xdr:colOff>0</xdr:colOff>
      <xdr:row>160</xdr:row>
      <xdr:rowOff>0</xdr:rowOff>
    </xdr:to>
    <xdr:sp macro="" textlink="">
      <xdr:nvSpPr>
        <xdr:cNvPr id="1189" name="Line 2085"/>
        <xdr:cNvSpPr>
          <a:spLocks noChangeShapeType="1"/>
        </xdr:cNvSpPr>
      </xdr:nvSpPr>
      <xdr:spPr bwMode="auto">
        <a:xfrm>
          <a:off x="8601075" y="393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0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1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2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3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4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5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6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7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8" name="Line 2078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199" name="Line 2079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0" name="Line 2080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1" name="Line 2081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2" name="Line 2082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3" name="Line 2083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4" name="Line 2084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161</xdr:row>
      <xdr:rowOff>0</xdr:rowOff>
    </xdr:from>
    <xdr:to>
      <xdr:col>8</xdr:col>
      <xdr:colOff>0</xdr:colOff>
      <xdr:row>161</xdr:row>
      <xdr:rowOff>0</xdr:rowOff>
    </xdr:to>
    <xdr:sp macro="" textlink="">
      <xdr:nvSpPr>
        <xdr:cNvPr id="1205" name="Line 2085"/>
        <xdr:cNvSpPr>
          <a:spLocks noChangeShapeType="1"/>
        </xdr:cNvSpPr>
      </xdr:nvSpPr>
      <xdr:spPr bwMode="auto">
        <a:xfrm>
          <a:off x="8601075" y="395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06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07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08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09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0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1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2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3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4" name="Line 2078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5" name="Line 2079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6" name="Line 2080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7" name="Line 2081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8" name="Line 2082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19" name="Line 2083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20" name="Line 2084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162</xdr:row>
      <xdr:rowOff>0</xdr:rowOff>
    </xdr:from>
    <xdr:to>
      <xdr:col>8</xdr:col>
      <xdr:colOff>0</xdr:colOff>
      <xdr:row>162</xdr:row>
      <xdr:rowOff>0</xdr:rowOff>
    </xdr:to>
    <xdr:sp macro="" textlink="">
      <xdr:nvSpPr>
        <xdr:cNvPr id="1221" name="Line 2085"/>
        <xdr:cNvSpPr>
          <a:spLocks noChangeShapeType="1"/>
        </xdr:cNvSpPr>
      </xdr:nvSpPr>
      <xdr:spPr bwMode="auto">
        <a:xfrm>
          <a:off x="8601075" y="398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2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3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4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5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6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7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8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29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0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1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2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3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4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5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6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7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8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39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0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1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2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3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4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5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6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7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8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49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50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51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52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53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4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5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6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7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8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59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60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261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2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3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4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5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6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7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8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69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0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1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2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3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4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5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6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77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78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79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0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1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2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3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4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85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86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87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88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89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90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91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92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293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29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2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3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4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5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6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7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8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09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0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1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2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3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4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5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6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17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18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19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0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1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2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3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4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5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6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7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8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29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30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31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32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33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3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4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4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2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3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4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5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6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7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8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49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0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1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2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3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4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5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6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7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8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59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0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1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2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3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4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365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66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67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68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69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0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1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2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3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4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5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6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7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8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79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80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81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2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3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4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5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6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7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8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89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0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1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2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3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4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5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6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397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98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399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0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1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2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3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4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5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6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7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8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09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10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11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12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13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1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2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3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4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5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6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7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8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29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0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1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2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3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4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5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6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7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8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39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0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1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2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3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4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445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46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47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48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49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50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51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52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53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5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2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3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4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5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6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7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8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69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0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1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2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3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4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5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6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77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78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79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0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1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2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3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4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485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86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87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88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89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0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1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2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3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49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2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3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4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5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6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7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8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09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0" name="Line 2078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1" name="Line 2079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2" name="Line 2080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3" name="Line 2081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4" name="Line 2082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5" name="Line 2083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6" name="Line 2084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1517" name="Line 2085"/>
        <xdr:cNvSpPr>
          <a:spLocks noChangeShapeType="1"/>
        </xdr:cNvSpPr>
      </xdr:nvSpPr>
      <xdr:spPr bwMode="auto">
        <a:xfrm>
          <a:off x="8601075" y="420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18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19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0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1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2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3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4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5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6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7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8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29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30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31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32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33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4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5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6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7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8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39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40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41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2" name="Line 2078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3" name="Line 2079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4" name="Line 2080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5" name="Line 2081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6" name="Line 2082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7" name="Line 2083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8" name="Line 2084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172</xdr:row>
      <xdr:rowOff>0</xdr:rowOff>
    </xdr:from>
    <xdr:to>
      <xdr:col>8</xdr:col>
      <xdr:colOff>0</xdr:colOff>
      <xdr:row>172</xdr:row>
      <xdr:rowOff>0</xdr:rowOff>
    </xdr:to>
    <xdr:sp macro="" textlink="">
      <xdr:nvSpPr>
        <xdr:cNvPr id="1549" name="Line 2085"/>
        <xdr:cNvSpPr>
          <a:spLocks noChangeShapeType="1"/>
        </xdr:cNvSpPr>
      </xdr:nvSpPr>
      <xdr:spPr bwMode="auto">
        <a:xfrm>
          <a:off x="8601075" y="422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0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1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2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3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4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5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6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7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8" name="Line 2078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59" name="Line 2079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0" name="Line 2080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1" name="Line 2081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2" name="Line 2082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3" name="Line 2083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4" name="Line 2084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565" name="Line 2085"/>
        <xdr:cNvSpPr>
          <a:spLocks noChangeShapeType="1"/>
        </xdr:cNvSpPr>
      </xdr:nvSpPr>
      <xdr:spPr bwMode="auto">
        <a:xfrm>
          <a:off x="8601075" y="425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6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6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6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6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4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5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6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7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8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79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80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81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2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3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4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5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6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7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8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89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0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1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2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3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4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5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6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597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9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59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0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1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1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1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1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4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5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6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7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8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19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0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1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2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3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4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5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6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7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8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29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0" name="Line 2078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1" name="Line 2079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2" name="Line 2080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3" name="Line 2081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4" name="Line 2082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5" name="Line 2083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6" name="Line 2084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7" name="Line 2085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8" name="Line 2078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39" name="Line 2079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0" name="Line 2080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1" name="Line 2081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2" name="Line 2082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3" name="Line 2083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4" name="Line 2084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645" name="Line 2085"/>
        <xdr:cNvSpPr>
          <a:spLocks noChangeShapeType="1"/>
        </xdr:cNvSpPr>
      </xdr:nvSpPr>
      <xdr:spPr bwMode="auto">
        <a:xfrm>
          <a:off x="8601075" y="442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46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47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48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49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0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1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2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3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4" name="Line 2078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5" name="Line 2079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6" name="Line 2080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7" name="Line 2081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8" name="Line 2082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59" name="Line 2083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60" name="Line 2084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181</xdr:row>
      <xdr:rowOff>0</xdr:rowOff>
    </xdr:from>
    <xdr:to>
      <xdr:col>8</xdr:col>
      <xdr:colOff>0</xdr:colOff>
      <xdr:row>181</xdr:row>
      <xdr:rowOff>0</xdr:rowOff>
    </xdr:to>
    <xdr:sp macro="" textlink="">
      <xdr:nvSpPr>
        <xdr:cNvPr id="1661" name="Line 2085"/>
        <xdr:cNvSpPr>
          <a:spLocks noChangeShapeType="1"/>
        </xdr:cNvSpPr>
      </xdr:nvSpPr>
      <xdr:spPr bwMode="auto">
        <a:xfrm>
          <a:off x="8601075" y="4451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2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3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4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5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6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7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8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69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0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1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2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3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4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5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6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7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7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8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9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9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9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69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4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5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6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7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8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699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0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1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2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3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4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5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6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7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8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09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0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1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2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3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4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5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6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7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1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2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4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5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6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7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8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39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40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41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2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3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4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5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6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7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8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49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0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1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2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3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4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5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6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57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5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5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6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7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7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7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7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4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5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6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7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8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79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0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1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2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3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4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5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6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7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8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789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0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1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2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3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4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5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6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7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79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0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06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07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08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09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0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1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2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3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4" name="Line 2078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5" name="Line 2079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6" name="Line 2080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7" name="Line 2081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8" name="Line 2082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19" name="Line 2083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20" name="Line 2084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192</xdr:row>
      <xdr:rowOff>0</xdr:rowOff>
    </xdr:from>
    <xdr:to>
      <xdr:col>8</xdr:col>
      <xdr:colOff>0</xdr:colOff>
      <xdr:row>192</xdr:row>
      <xdr:rowOff>0</xdr:rowOff>
    </xdr:to>
    <xdr:sp macro="" textlink="">
      <xdr:nvSpPr>
        <xdr:cNvPr id="1821" name="Line 2085"/>
        <xdr:cNvSpPr>
          <a:spLocks noChangeShapeType="1"/>
        </xdr:cNvSpPr>
      </xdr:nvSpPr>
      <xdr:spPr bwMode="auto">
        <a:xfrm>
          <a:off x="8601075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2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3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4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5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6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7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8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29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0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1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2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3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4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5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6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7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8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39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0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1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2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3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4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5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6" name="Line 2078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7" name="Line 2079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8" name="Line 2080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49" name="Line 2081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50" name="Line 2082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51" name="Line 2083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52" name="Line 2084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193</xdr:row>
      <xdr:rowOff>0</xdr:rowOff>
    </xdr:from>
    <xdr:to>
      <xdr:col>8</xdr:col>
      <xdr:colOff>0</xdr:colOff>
      <xdr:row>193</xdr:row>
      <xdr:rowOff>0</xdr:rowOff>
    </xdr:to>
    <xdr:sp macro="" textlink="">
      <xdr:nvSpPr>
        <xdr:cNvPr id="1853" name="Line 2085"/>
        <xdr:cNvSpPr>
          <a:spLocks noChangeShapeType="1"/>
        </xdr:cNvSpPr>
      </xdr:nvSpPr>
      <xdr:spPr bwMode="auto">
        <a:xfrm>
          <a:off x="8601075" y="474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7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8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9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0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1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2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3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4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6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7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8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9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0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1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2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3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7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8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9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0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1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2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3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4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5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6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7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8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9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40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41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2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3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5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6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7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0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1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2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3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4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5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6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57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58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59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0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1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2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3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4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5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6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7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8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69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70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71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72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73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4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5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6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7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8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79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0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1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2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3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4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5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6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7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8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89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0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1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2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3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4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5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6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7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8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99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0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1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2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3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4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05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06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07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08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09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0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1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2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3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1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2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2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2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3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4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5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6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7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8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9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0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1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2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3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4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5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6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7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8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39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0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1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2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3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4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45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46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47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48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49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0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1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2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3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4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5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6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7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8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59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60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161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2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3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4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5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6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7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8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69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0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1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2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3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4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5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6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177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78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79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0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1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2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3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4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5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6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7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8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89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90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91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92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93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0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0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2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3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4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5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6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7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8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9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0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1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2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3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4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5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6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17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18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19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0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1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2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3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4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5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6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7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8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29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0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1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2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3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3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4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4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2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3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4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5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6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7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8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49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0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1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2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3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4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5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6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7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8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59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0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1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2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3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4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5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6" name="Line 2078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7" name="Line 2079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8" name="Line 2080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69" name="Line 2081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70" name="Line 2082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71" name="Line 2083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72" name="Line 2084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273" name="Line 2085"/>
        <xdr:cNvSpPr>
          <a:spLocks noChangeShapeType="1"/>
        </xdr:cNvSpPr>
      </xdr:nvSpPr>
      <xdr:spPr bwMode="auto">
        <a:xfrm>
          <a:off x="8601075" y="5491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4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5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6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7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8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79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80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81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2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3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4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5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6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7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8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89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0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1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2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3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4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5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6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97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98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99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0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1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2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3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4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05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06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07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08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09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0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1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2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3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4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5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6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7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8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19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20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21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2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3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4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5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6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7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8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29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0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1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2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3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4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5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6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7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8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39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0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1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2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3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4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45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4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4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4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4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5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5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5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5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5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2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3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4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5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6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7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8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69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0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1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2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3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4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5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6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77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78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79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0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1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2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3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4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5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8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9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9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9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9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39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2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3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4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5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6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7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8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09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0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1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2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3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4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5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6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7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8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19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0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1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2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3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4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5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6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7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8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29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0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1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2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3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3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4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44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2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3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4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5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6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7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8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49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0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1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2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3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4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5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6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7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8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59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0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1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2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3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4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65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6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6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6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6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7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7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7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7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4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5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6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7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8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79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80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81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2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3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4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5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6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7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8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89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0" name="Line 2078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1" name="Line 2079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2" name="Line 2080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3" name="Line 2081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4" name="Line 2082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5" name="Line 2083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6" name="Line 2084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497" name="Line 2085"/>
        <xdr:cNvSpPr>
          <a:spLocks noChangeShapeType="1"/>
        </xdr:cNvSpPr>
      </xdr:nvSpPr>
      <xdr:spPr bwMode="auto">
        <a:xfrm>
          <a:off x="8601075" y="551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98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499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0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1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2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3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4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05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0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0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0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0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4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5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6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7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8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19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20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21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2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3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4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5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6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7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8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29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0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1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2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3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4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5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6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37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38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39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0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1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2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3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4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5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6" name="Line 2078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7" name="Line 2079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8" name="Line 2080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49" name="Line 2081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50" name="Line 2082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51" name="Line 2083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52" name="Line 2084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553" name="Line 2085"/>
        <xdr:cNvSpPr>
          <a:spLocks noChangeShapeType="1"/>
        </xdr:cNvSpPr>
      </xdr:nvSpPr>
      <xdr:spPr bwMode="auto">
        <a:xfrm>
          <a:off x="8601075" y="5538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4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5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6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7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8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59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0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1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2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3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4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5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6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7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8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69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0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1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2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3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4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5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6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77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78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79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0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1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2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3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4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5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8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9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9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9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59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4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5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6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7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8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599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0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1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2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3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4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5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6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7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8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09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0" name="Line 2078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1" name="Line 2079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2" name="Line 2080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3" name="Line 2081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4" name="Line 2082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5" name="Line 2083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6" name="Line 2084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617" name="Line 2085"/>
        <xdr:cNvSpPr>
          <a:spLocks noChangeShapeType="1"/>
        </xdr:cNvSpPr>
      </xdr:nvSpPr>
      <xdr:spPr bwMode="auto">
        <a:xfrm>
          <a:off x="8601075" y="5586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18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19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0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1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2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3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4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5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6" name="Line 2078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7" name="Line 2079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8" name="Line 2080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29" name="Line 2081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30" name="Line 2082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31" name="Line 2083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32" name="Line 2084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33" name="Line 2085"/>
        <xdr:cNvSpPr>
          <a:spLocks noChangeShapeType="1"/>
        </xdr:cNvSpPr>
      </xdr:nvSpPr>
      <xdr:spPr bwMode="auto">
        <a:xfrm>
          <a:off x="8601075" y="5562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828675</xdr:colOff>
      <xdr:row>11</xdr:row>
      <xdr:rowOff>180975</xdr:rowOff>
    </xdr:from>
    <xdr:to>
      <xdr:col>14</xdr:col>
      <xdr:colOff>117475</xdr:colOff>
      <xdr:row>15</xdr:row>
      <xdr:rowOff>9525</xdr:rowOff>
    </xdr:to>
    <xdr:sp macro="" textlink="">
      <xdr:nvSpPr>
        <xdr:cNvPr id="2" name="วงเล็บปีกกาขวา 1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828675</xdr:colOff>
      <xdr:row>11</xdr:row>
      <xdr:rowOff>180975</xdr:rowOff>
    </xdr:from>
    <xdr:to>
      <xdr:col>14</xdr:col>
      <xdr:colOff>117475</xdr:colOff>
      <xdr:row>15</xdr:row>
      <xdr:rowOff>9525</xdr:rowOff>
    </xdr:to>
    <xdr:sp macro="" textlink="">
      <xdr:nvSpPr>
        <xdr:cNvPr id="2" name="วงเล็บปีกกาขวา 1"/>
        <xdr:cNvSpPr>
          <a:spLocks/>
        </xdr:cNvSpPr>
      </xdr:nvSpPr>
      <xdr:spPr bwMode="auto">
        <a:xfrm>
          <a:off x="13535025" y="3257550"/>
          <a:ext cx="212725" cy="933450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31</xdr:row>
      <xdr:rowOff>180975</xdr:rowOff>
    </xdr:from>
    <xdr:to>
      <xdr:col>14</xdr:col>
      <xdr:colOff>117475</xdr:colOff>
      <xdr:row>36</xdr:row>
      <xdr:rowOff>9525</xdr:rowOff>
    </xdr:to>
    <xdr:sp macro="" textlink="">
      <xdr:nvSpPr>
        <xdr:cNvPr id="3" name="วงเล็บปีกกาขวา 2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r>
            <a:rPr lang="th-TH"/>
            <a:t> </a:t>
          </a:r>
        </a:p>
      </xdr:txBody>
    </xdr:sp>
    <xdr:clientData/>
  </xdr:twoCellAnchor>
  <xdr:twoCellAnchor>
    <xdr:from>
      <xdr:col>13</xdr:col>
      <xdr:colOff>828675</xdr:colOff>
      <xdr:row>51</xdr:row>
      <xdr:rowOff>180975</xdr:rowOff>
    </xdr:from>
    <xdr:to>
      <xdr:col>14</xdr:col>
      <xdr:colOff>117475</xdr:colOff>
      <xdr:row>56</xdr:row>
      <xdr:rowOff>9525</xdr:rowOff>
    </xdr:to>
    <xdr:sp macro="" textlink="">
      <xdr:nvSpPr>
        <xdr:cNvPr id="4" name="วงเล็บปีกกาขวา 3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828675</xdr:colOff>
      <xdr:row>11</xdr:row>
      <xdr:rowOff>180975</xdr:rowOff>
    </xdr:from>
    <xdr:to>
      <xdr:col>14</xdr:col>
      <xdr:colOff>117475</xdr:colOff>
      <xdr:row>15</xdr:row>
      <xdr:rowOff>9525</xdr:rowOff>
    </xdr:to>
    <xdr:sp macro="" textlink="">
      <xdr:nvSpPr>
        <xdr:cNvPr id="2" name="วงเล็บปีกกาขวา 1"/>
        <xdr:cNvSpPr>
          <a:spLocks/>
        </xdr:cNvSpPr>
      </xdr:nvSpPr>
      <xdr:spPr bwMode="auto">
        <a:xfrm>
          <a:off x="13535025" y="3257550"/>
          <a:ext cx="212725" cy="933450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32</xdr:row>
      <xdr:rowOff>180975</xdr:rowOff>
    </xdr:from>
    <xdr:to>
      <xdr:col>14</xdr:col>
      <xdr:colOff>117475</xdr:colOff>
      <xdr:row>38</xdr:row>
      <xdr:rowOff>9525</xdr:rowOff>
    </xdr:to>
    <xdr:sp macro="" textlink="">
      <xdr:nvSpPr>
        <xdr:cNvPr id="3" name="วงเล็บปีกกาขวา 2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51</xdr:row>
      <xdr:rowOff>180975</xdr:rowOff>
    </xdr:from>
    <xdr:to>
      <xdr:col>14</xdr:col>
      <xdr:colOff>117475</xdr:colOff>
      <xdr:row>58</xdr:row>
      <xdr:rowOff>9525</xdr:rowOff>
    </xdr:to>
    <xdr:sp macro="" textlink="">
      <xdr:nvSpPr>
        <xdr:cNvPr id="4" name="วงเล็บปีกกาขวา 3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72</xdr:row>
      <xdr:rowOff>180975</xdr:rowOff>
    </xdr:from>
    <xdr:to>
      <xdr:col>14</xdr:col>
      <xdr:colOff>117475</xdr:colOff>
      <xdr:row>78</xdr:row>
      <xdr:rowOff>9525</xdr:rowOff>
    </xdr:to>
    <xdr:sp macro="" textlink="">
      <xdr:nvSpPr>
        <xdr:cNvPr id="5" name="วงเล็บปีกกาขวา 4"/>
        <xdr:cNvSpPr>
          <a:spLocks/>
        </xdr:cNvSpPr>
      </xdr:nvSpPr>
      <xdr:spPr bwMode="auto">
        <a:xfrm>
          <a:off x="13549842" y="8510058"/>
          <a:ext cx="209550" cy="929217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92</xdr:row>
      <xdr:rowOff>180975</xdr:rowOff>
    </xdr:from>
    <xdr:to>
      <xdr:col>14</xdr:col>
      <xdr:colOff>117475</xdr:colOff>
      <xdr:row>97</xdr:row>
      <xdr:rowOff>9525</xdr:rowOff>
    </xdr:to>
    <xdr:sp macro="" textlink="">
      <xdr:nvSpPr>
        <xdr:cNvPr id="6" name="วงเล็บปีกกาขวา 5"/>
        <xdr:cNvSpPr>
          <a:spLocks/>
        </xdr:cNvSpPr>
      </xdr:nvSpPr>
      <xdr:spPr bwMode="auto">
        <a:xfrm>
          <a:off x="13549842" y="3250142"/>
          <a:ext cx="209550" cy="929216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828675</xdr:colOff>
      <xdr:row>112</xdr:row>
      <xdr:rowOff>180975</xdr:rowOff>
    </xdr:from>
    <xdr:to>
      <xdr:col>14</xdr:col>
      <xdr:colOff>117475</xdr:colOff>
      <xdr:row>117</xdr:row>
      <xdr:rowOff>9525</xdr:rowOff>
    </xdr:to>
    <xdr:sp macro="" textlink="">
      <xdr:nvSpPr>
        <xdr:cNvPr id="7" name="วงเล็บปีกกาขวา 6"/>
        <xdr:cNvSpPr>
          <a:spLocks/>
        </xdr:cNvSpPr>
      </xdr:nvSpPr>
      <xdr:spPr bwMode="auto">
        <a:xfrm>
          <a:off x="13549842" y="23072725"/>
          <a:ext cx="209550" cy="1045633"/>
        </a:xfrm>
        <a:prstGeom prst="rightBrace">
          <a:avLst>
            <a:gd name="adj1" fmla="val 1822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1:J45"/>
  <sheetViews>
    <sheetView showGridLines="0" view="pageBreakPreview" topLeftCell="A28" zoomScaleNormal="175" zoomScaleSheetLayoutView="100" workbookViewId="0">
      <selection sqref="A1:D37"/>
    </sheetView>
  </sheetViews>
  <sheetFormatPr defaultRowHeight="21.75"/>
  <cols>
    <col min="1" max="1" width="14" style="1" customWidth="1"/>
    <col min="2" max="2" width="55.140625" style="1" customWidth="1"/>
    <col min="3" max="3" width="17.5703125" style="2" customWidth="1"/>
    <col min="4" max="4" width="17.7109375" style="2" customWidth="1"/>
    <col min="5" max="5" width="15.42578125" style="1" customWidth="1"/>
    <col min="6" max="16384" width="9.140625" style="1"/>
  </cols>
  <sheetData>
    <row r="1" spans="1:10" s="174" customFormat="1" ht="27">
      <c r="A1" s="605" t="s">
        <v>151</v>
      </c>
      <c r="B1" s="605"/>
      <c r="C1" s="605"/>
      <c r="D1" s="605"/>
    </row>
    <row r="2" spans="1:10">
      <c r="A2" s="12" t="s">
        <v>101</v>
      </c>
      <c r="B2" s="12" t="s">
        <v>740</v>
      </c>
      <c r="C2" s="204"/>
      <c r="D2" s="204"/>
    </row>
    <row r="3" spans="1:10">
      <c r="A3" s="12"/>
      <c r="B3" s="12" t="s">
        <v>594</v>
      </c>
      <c r="C3" s="204"/>
      <c r="D3" s="204"/>
    </row>
    <row r="4" spans="1:10" ht="24">
      <c r="A4" s="12" t="s">
        <v>97</v>
      </c>
      <c r="B4" s="12" t="s">
        <v>154</v>
      </c>
      <c r="C4" s="204"/>
      <c r="D4" s="463"/>
    </row>
    <row r="5" spans="1:10">
      <c r="A5" s="12" t="s">
        <v>89</v>
      </c>
      <c r="B5" s="12" t="s">
        <v>702</v>
      </c>
      <c r="C5" s="204"/>
      <c r="D5" s="393"/>
    </row>
    <row r="6" spans="1:10">
      <c r="A6" s="12" t="s">
        <v>304</v>
      </c>
      <c r="B6" s="12"/>
      <c r="C6" s="394" t="s">
        <v>153</v>
      </c>
      <c r="D6" s="204"/>
    </row>
    <row r="7" spans="1:10">
      <c r="A7" s="12" t="s">
        <v>102</v>
      </c>
      <c r="B7" s="395"/>
      <c r="C7" s="495">
        <v>48</v>
      </c>
      <c r="D7" s="1"/>
    </row>
    <row r="8" spans="1:10">
      <c r="A8" s="12"/>
      <c r="B8" s="12"/>
      <c r="C8" s="204"/>
      <c r="D8" s="204"/>
    </row>
    <row r="9" spans="1:10" ht="22.5" thickBot="1">
      <c r="A9" s="306"/>
      <c r="B9" s="306"/>
      <c r="C9" s="307"/>
      <c r="D9" s="307"/>
    </row>
    <row r="10" spans="1:10" ht="21" customHeight="1" thickTop="1">
      <c r="A10" s="606" t="s">
        <v>0</v>
      </c>
      <c r="B10" s="606" t="s">
        <v>1</v>
      </c>
      <c r="C10" s="396" t="s">
        <v>22</v>
      </c>
      <c r="D10" s="608" t="s">
        <v>8</v>
      </c>
      <c r="J10" s="1" t="s">
        <v>9</v>
      </c>
    </row>
    <row r="11" spans="1:10" ht="17.25" customHeight="1" thickBot="1">
      <c r="A11" s="607"/>
      <c r="B11" s="607"/>
      <c r="C11" s="478" t="s">
        <v>98</v>
      </c>
      <c r="D11" s="609"/>
    </row>
    <row r="12" spans="1:10" ht="21" customHeight="1" thickTop="1">
      <c r="A12" s="308">
        <v>1</v>
      </c>
      <c r="B12" s="309" t="s">
        <v>159</v>
      </c>
      <c r="C12" s="310">
        <f>+'ใบสรุปแบบ ปร.5 (ก) '!H25</f>
        <v>63166082.081160009</v>
      </c>
      <c r="D12" s="175"/>
    </row>
    <row r="13" spans="1:10" ht="21" customHeight="1">
      <c r="A13" s="177">
        <v>2</v>
      </c>
      <c r="B13" s="178" t="s">
        <v>27</v>
      </c>
      <c r="C13" s="180">
        <f>+'ใบสรุปแบบ ปร.5 (ข)'!H24</f>
        <v>9834043.6500000004</v>
      </c>
      <c r="D13" s="176"/>
      <c r="G13" s="1" t="s">
        <v>9</v>
      </c>
    </row>
    <row r="14" spans="1:10" ht="21" customHeight="1">
      <c r="A14" s="177"/>
      <c r="B14" s="178"/>
      <c r="C14" s="180"/>
      <c r="D14" s="176"/>
    </row>
    <row r="15" spans="1:10" ht="21" customHeight="1">
      <c r="A15" s="177"/>
      <c r="B15" s="178"/>
      <c r="C15" s="180"/>
      <c r="D15" s="176"/>
    </row>
    <row r="16" spans="1:10" ht="21" customHeight="1">
      <c r="A16" s="177"/>
      <c r="B16" s="178"/>
      <c r="C16" s="180"/>
      <c r="D16" s="176"/>
    </row>
    <row r="17" spans="1:5" ht="21" customHeight="1">
      <c r="A17" s="177"/>
      <c r="B17" s="178"/>
      <c r="C17" s="180"/>
      <c r="D17" s="176"/>
    </row>
    <row r="18" spans="1:5" ht="21" customHeight="1">
      <c r="A18" s="177"/>
      <c r="B18" s="178"/>
      <c r="C18" s="180"/>
      <c r="D18" s="176"/>
    </row>
    <row r="19" spans="1:5" ht="21" customHeight="1">
      <c r="A19" s="177"/>
      <c r="B19" s="178"/>
      <c r="C19" s="180"/>
      <c r="D19" s="176"/>
    </row>
    <row r="20" spans="1:5" ht="19.5" customHeight="1">
      <c r="A20" s="181"/>
      <c r="B20" s="178"/>
      <c r="C20" s="180"/>
      <c r="D20" s="180"/>
    </row>
    <row r="21" spans="1:5" ht="19.5" customHeight="1">
      <c r="A21" s="181"/>
      <c r="B21" s="178"/>
      <c r="C21" s="180"/>
      <c r="D21" s="180"/>
    </row>
    <row r="22" spans="1:5">
      <c r="A22" s="182"/>
      <c r="B22" s="183"/>
      <c r="C22" s="184" t="s">
        <v>9</v>
      </c>
      <c r="D22" s="185"/>
      <c r="E22" s="1" t="s">
        <v>9</v>
      </c>
    </row>
    <row r="23" spans="1:5" ht="21" customHeight="1">
      <c r="A23" s="186"/>
      <c r="B23" s="188" t="s">
        <v>29</v>
      </c>
      <c r="C23" s="311">
        <f>SUM(C12:C22)</f>
        <v>73000125.731160015</v>
      </c>
      <c r="D23" s="187"/>
    </row>
    <row r="24" spans="1:5" ht="21" customHeight="1">
      <c r="A24" s="186"/>
      <c r="B24" s="188" t="s">
        <v>20</v>
      </c>
      <c r="C24" s="397">
        <v>73000000</v>
      </c>
      <c r="D24" s="189"/>
      <c r="E24" s="190">
        <f>+C24-C23</f>
        <v>-125.73116001486778</v>
      </c>
    </row>
    <row r="25" spans="1:5" ht="24.75" customHeight="1">
      <c r="A25" s="191"/>
      <c r="B25" s="188" t="str">
        <f xml:space="preserve"> "ราคา ( "&amp;BAHTTEXT(C24)&amp;" )"</f>
        <v>ราคา ( เจ็ดสิบสามล้านบาทถ้วน )</v>
      </c>
      <c r="C25" s="192"/>
      <c r="D25" s="193"/>
    </row>
    <row r="26" spans="1:5" ht="15.75" customHeight="1">
      <c r="B26" s="2"/>
    </row>
    <row r="27" spans="1:5" ht="20.25" customHeight="1">
      <c r="B27" s="601" t="s">
        <v>741</v>
      </c>
      <c r="C27" s="194"/>
      <c r="D27" s="195"/>
    </row>
    <row r="28" spans="1:5" ht="20.25" customHeight="1">
      <c r="A28" s="602" t="s">
        <v>742</v>
      </c>
      <c r="B28" s="603" t="s">
        <v>748</v>
      </c>
      <c r="C28" s="196" t="s">
        <v>745</v>
      </c>
      <c r="D28" s="197"/>
    </row>
    <row r="29" spans="1:5" ht="20.25" customHeight="1">
      <c r="A29" s="602"/>
      <c r="B29" s="3"/>
      <c r="C29" s="196"/>
      <c r="D29" s="197"/>
    </row>
    <row r="30" spans="1:5" ht="20.25" customHeight="1">
      <c r="A30" s="602" t="s">
        <v>742</v>
      </c>
      <c r="B30" s="603" t="s">
        <v>749</v>
      </c>
      <c r="C30" s="196" t="s">
        <v>746</v>
      </c>
      <c r="D30" s="479"/>
    </row>
    <row r="31" spans="1:5" ht="20.25" customHeight="1">
      <c r="A31" s="602"/>
      <c r="B31" s="3"/>
      <c r="C31" s="196"/>
      <c r="D31" s="195"/>
    </row>
    <row r="32" spans="1:5" ht="20.25" customHeight="1">
      <c r="A32" s="602" t="s">
        <v>743</v>
      </c>
      <c r="B32" s="603" t="s">
        <v>750</v>
      </c>
      <c r="C32" s="196" t="s">
        <v>747</v>
      </c>
      <c r="D32" s="479"/>
    </row>
    <row r="33" spans="1:5" ht="20.25" customHeight="1">
      <c r="A33" s="602"/>
      <c r="B33" s="3"/>
      <c r="C33" s="196"/>
      <c r="D33" s="195"/>
    </row>
    <row r="34" spans="1:5" ht="20.25" customHeight="1">
      <c r="A34" s="602" t="s">
        <v>744</v>
      </c>
      <c r="B34" s="603" t="s">
        <v>751</v>
      </c>
      <c r="C34" s="196" t="s">
        <v>746</v>
      </c>
      <c r="D34" s="479"/>
    </row>
    <row r="35" spans="1:5" ht="20.25" customHeight="1">
      <c r="A35" s="602"/>
      <c r="B35" s="677"/>
      <c r="C35" s="196"/>
      <c r="D35" s="1"/>
    </row>
    <row r="36" spans="1:5" ht="20.25" customHeight="1">
      <c r="A36" s="602" t="s">
        <v>744</v>
      </c>
      <c r="B36" s="604" t="s">
        <v>752</v>
      </c>
      <c r="C36" s="196" t="s">
        <v>746</v>
      </c>
      <c r="D36" s="479"/>
    </row>
    <row r="37" spans="1:5" ht="20.25" customHeight="1">
      <c r="A37" s="602"/>
      <c r="B37" s="3"/>
      <c r="C37" s="196"/>
      <c r="D37" s="4"/>
    </row>
    <row r="38" spans="1:5" ht="20.25" customHeight="1">
      <c r="C38" s="195"/>
      <c r="D38" s="195"/>
    </row>
    <row r="39" spans="1:5" ht="20.25" customHeight="1">
      <c r="C39" s="198"/>
      <c r="D39" s="479"/>
      <c r="E39" s="4"/>
    </row>
    <row r="40" spans="1:5" ht="20.25" customHeight="1">
      <c r="C40" s="4"/>
      <c r="D40" s="195"/>
    </row>
    <row r="41" spans="1:5" ht="20.25" customHeight="1">
      <c r="C41" s="4"/>
      <c r="D41" s="195"/>
    </row>
    <row r="42" spans="1:5" ht="20.25" customHeight="1">
      <c r="C42" s="4"/>
      <c r="D42" s="195"/>
    </row>
    <row r="43" spans="1:5" ht="20.25" customHeight="1">
      <c r="C43" s="4"/>
      <c r="D43" s="4"/>
    </row>
    <row r="45" spans="1:5">
      <c r="D45" s="1"/>
    </row>
  </sheetData>
  <dataConsolidate/>
  <mergeCells count="4">
    <mergeCell ref="A1:D1"/>
    <mergeCell ref="A10:A11"/>
    <mergeCell ref="B10:B11"/>
    <mergeCell ref="D10:D11"/>
  </mergeCells>
  <phoneticPr fontId="3" type="noConversion"/>
  <dataValidations count="3">
    <dataValidation type="list" allowBlank="1" showInputMessage="1" showErrorMessage="1" sqref="B23">
      <formula1>"รวมค่าก่อสร้างทั้งโครงการ,รวมค่าซ่อมแซมทั้งโครงการ,รวมค่าปรับปรุงทั้งโครงการ,รวมค่าใช้จ่ายทั้งโครงการ,รวมค่าจัดซื้อทั้งโครงการ"</formula1>
    </dataValidation>
    <dataValidation type="list" allowBlank="1" showInputMessage="1" showErrorMessage="1" sqref="C10">
      <formula1>"ค่าก่อสร้าง,ค่าซ่อมแซม,ค่าปรับปรุง,ค่าใช้จ่าย,ค่าจัดซื้อ"</formula1>
    </dataValidation>
    <dataValidation type="list" allowBlank="1" showInputMessage="1" showErrorMessage="1" sqref="A1:D1">
      <formula1>"แบบสรุปราคากลาง งานก่อสร้าง,แบบสรุปราคากลาง งานซ่อมแซม,แบบสรุปราคากลาง งานปรับปรุง,แบบสรุปราคากลาง งานอื่นๆ,แบบสรุปราคากลาง งานจัดซื้อ,แบบสรุปราคากลาง งานก่อสร้างเบื้องต้น,แบบสรุปราคากลาง งานซ่อมแซมเบื้องต้น,แบบสรุปราคากลาง งานปรับปรุง เบื้องต้น"</formula1>
    </dataValidation>
  </dataValidations>
  <printOptions horizontalCentered="1" verticalCentered="1"/>
  <pageMargins left="0.51181102362204722" right="0.11811023622047245" top="0.71" bottom="0.34" header="0.39370078740157483" footer="0.31496062992125984"/>
  <pageSetup paperSize="9" orientation="portrait" verticalDpi="300" r:id="rId1"/>
  <headerFooter alignWithMargins="0">
    <oddHeader>&amp;R&amp;"TH SarabunPSK,Regular"&amp;16แบบ ปร.6  แผ่นที่ 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DH41"/>
  <sheetViews>
    <sheetView showGridLines="0" view="pageBreakPreview" topLeftCell="A26" zoomScaleSheetLayoutView="100" workbookViewId="0">
      <selection sqref="A1:I37"/>
    </sheetView>
  </sheetViews>
  <sheetFormatPr defaultRowHeight="21.75"/>
  <cols>
    <col min="1" max="1" width="11.42578125" style="1" customWidth="1"/>
    <col min="2" max="2" width="10.28515625" style="1" customWidth="1"/>
    <col min="3" max="3" width="21" style="1" customWidth="1"/>
    <col min="4" max="4" width="11.42578125" style="1" customWidth="1"/>
    <col min="5" max="5" width="6.28515625" style="1" customWidth="1"/>
    <col min="6" max="6" width="14.28515625" style="3" customWidth="1"/>
    <col min="7" max="7" width="8.42578125" style="3" customWidth="1"/>
    <col min="8" max="8" width="13.28515625" style="1" customWidth="1"/>
    <col min="9" max="9" width="8.5703125" style="1" customWidth="1"/>
    <col min="10" max="10" width="9.140625" style="1"/>
    <col min="11" max="11" width="10.140625" style="1" customWidth="1"/>
    <col min="12" max="12" width="13" style="1" customWidth="1"/>
    <col min="13" max="13" width="4.28515625" style="1" customWidth="1"/>
    <col min="14" max="14" width="15.5703125" style="1" customWidth="1"/>
    <col min="15" max="15" width="12.7109375" style="1" customWidth="1"/>
    <col min="16" max="16" width="4.42578125" style="1" customWidth="1"/>
    <col min="17" max="17" width="12.5703125" style="1" customWidth="1"/>
    <col min="18" max="20" width="8.85546875" style="3" customWidth="1"/>
    <col min="21" max="21" width="2.85546875" style="3" customWidth="1"/>
    <col min="22" max="24" width="8.85546875" style="3" customWidth="1"/>
    <col min="25" max="25" width="3" style="3" customWidth="1"/>
    <col min="26" max="26" width="10.42578125" style="3" customWidth="1"/>
    <col min="27" max="28" width="8.85546875" style="3" customWidth="1"/>
    <col min="29" max="112" width="9.140625" style="1"/>
    <col min="113" max="16384" width="9.140625" style="4"/>
  </cols>
  <sheetData>
    <row r="1" spans="1:112" ht="27">
      <c r="A1" s="614" t="str">
        <f>+'แบบ ปร.6'!A1</f>
        <v>แบบสรุปราคากลาง งานก่อสร้าง</v>
      </c>
      <c r="B1" s="614"/>
      <c r="C1" s="614"/>
      <c r="D1" s="614"/>
      <c r="E1" s="614"/>
      <c r="F1" s="614"/>
      <c r="G1" s="614"/>
      <c r="H1" s="614"/>
      <c r="I1" s="614"/>
      <c r="J1" s="230"/>
      <c r="K1" s="230"/>
      <c r="L1" s="230"/>
      <c r="M1" s="4"/>
      <c r="N1" s="4"/>
      <c r="O1" s="4"/>
      <c r="P1" s="4"/>
      <c r="Q1" s="4"/>
      <c r="R1" s="479"/>
      <c r="S1" s="479"/>
      <c r="T1" s="479"/>
      <c r="U1" s="479"/>
      <c r="V1" s="479"/>
      <c r="W1" s="479"/>
      <c r="X1" s="479"/>
      <c r="Y1" s="479"/>
      <c r="Z1" s="479"/>
      <c r="AA1" s="479"/>
      <c r="AB1" s="479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</row>
    <row r="2" spans="1:112">
      <c r="A2" s="199" t="s">
        <v>96</v>
      </c>
      <c r="B2" s="398" t="s">
        <v>91</v>
      </c>
      <c r="C2" s="199"/>
      <c r="D2" s="199"/>
      <c r="E2" s="199"/>
      <c r="F2" s="200"/>
      <c r="G2" s="201"/>
      <c r="H2" s="199"/>
      <c r="I2" s="199"/>
      <c r="J2" s="202"/>
      <c r="K2" s="202"/>
      <c r="L2" s="202"/>
    </row>
    <row r="3" spans="1:112">
      <c r="A3" s="12" t="s">
        <v>93</v>
      </c>
      <c r="B3" s="12" t="str">
        <f>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12"/>
      <c r="D3" s="12"/>
      <c r="E3" s="12"/>
      <c r="F3" s="203"/>
      <c r="G3" s="203"/>
      <c r="H3" s="203"/>
      <c r="I3" s="203"/>
      <c r="N3" s="4"/>
    </row>
    <row r="4" spans="1:112">
      <c r="A4" s="12"/>
      <c r="B4" s="12" t="s">
        <v>594</v>
      </c>
      <c r="C4" s="12"/>
      <c r="D4" s="12"/>
      <c r="E4" s="12"/>
      <c r="F4" s="203"/>
      <c r="G4" s="203"/>
      <c r="H4" s="203"/>
      <c r="I4" s="203"/>
      <c r="N4" s="4"/>
    </row>
    <row r="5" spans="1:112">
      <c r="A5" s="12" t="s">
        <v>97</v>
      </c>
      <c r="B5" s="12" t="str">
        <f>+'แบบ ปร.6'!B4</f>
        <v>อ.บ้านฉาง จว.ระยอง</v>
      </c>
      <c r="C5" s="12"/>
      <c r="D5" s="626" t="s">
        <v>703</v>
      </c>
      <c r="E5" s="626"/>
      <c r="F5" s="626"/>
      <c r="G5" s="626"/>
      <c r="H5" s="626"/>
      <c r="I5" s="626"/>
    </row>
    <row r="6" spans="1:112">
      <c r="A6" s="12" t="s">
        <v>88</v>
      </c>
      <c r="B6" s="12"/>
      <c r="C6" s="12"/>
      <c r="D6" s="12" t="str">
        <f>+'แบบ ปร.6'!C6</f>
        <v>กบร.กร.</v>
      </c>
      <c r="E6" s="12"/>
      <c r="F6" s="12" t="s">
        <v>99</v>
      </c>
      <c r="G6" s="204"/>
      <c r="H6" s="399">
        <v>44</v>
      </c>
      <c r="I6" s="12"/>
      <c r="AM6" s="4"/>
    </row>
    <row r="7" spans="1:112" ht="22.5" thickBot="1">
      <c r="A7" s="12"/>
      <c r="B7" s="12"/>
      <c r="C7" s="12"/>
      <c r="D7" s="12"/>
      <c r="E7" s="12"/>
      <c r="F7" s="12"/>
      <c r="G7" s="204"/>
      <c r="H7" s="12"/>
      <c r="I7" s="12"/>
    </row>
    <row r="8" spans="1:112" ht="22.5" thickTop="1">
      <c r="A8" s="618" t="s">
        <v>0</v>
      </c>
      <c r="B8" s="620" t="s">
        <v>1</v>
      </c>
      <c r="C8" s="621"/>
      <c r="D8" s="621"/>
      <c r="E8" s="622"/>
      <c r="F8" s="484" t="s">
        <v>11</v>
      </c>
      <c r="G8" s="618" t="s">
        <v>7</v>
      </c>
      <c r="H8" s="205" t="str">
        <f>+'แบบ ปร.6'!C10</f>
        <v>ค่าก่อสร้าง</v>
      </c>
      <c r="I8" s="618" t="s">
        <v>8</v>
      </c>
      <c r="J8" s="202"/>
      <c r="K8" s="312" t="s">
        <v>147</v>
      </c>
      <c r="L8" s="313"/>
      <c r="M8" s="314" t="s">
        <v>148</v>
      </c>
      <c r="N8" s="313"/>
      <c r="O8" s="313"/>
      <c r="P8" s="313"/>
      <c r="Q8" s="313"/>
      <c r="R8" s="313"/>
      <c r="S8" s="313"/>
      <c r="T8" s="313"/>
      <c r="U8" s="313"/>
      <c r="V8" s="315"/>
    </row>
    <row r="9" spans="1:112" ht="22.5" thickBot="1">
      <c r="A9" s="619"/>
      <c r="B9" s="623"/>
      <c r="C9" s="624"/>
      <c r="D9" s="624"/>
      <c r="E9" s="625"/>
      <c r="F9" s="485" t="s">
        <v>98</v>
      </c>
      <c r="G9" s="619"/>
      <c r="H9" s="485" t="s">
        <v>98</v>
      </c>
      <c r="I9" s="619"/>
      <c r="J9" s="202"/>
      <c r="K9" s="316" t="s">
        <v>149</v>
      </c>
      <c r="L9" s="317"/>
      <c r="M9" s="318" t="s">
        <v>150</v>
      </c>
      <c r="N9" s="317"/>
      <c r="O9" s="317"/>
      <c r="P9" s="317"/>
      <c r="Q9" s="317"/>
      <c r="R9" s="317"/>
      <c r="S9" s="317"/>
      <c r="T9" s="317"/>
      <c r="U9" s="317"/>
      <c r="V9" s="319"/>
    </row>
    <row r="10" spans="1:112" ht="22.5" thickTop="1">
      <c r="A10" s="455">
        <v>1</v>
      </c>
      <c r="B10" s="456" t="s">
        <v>160</v>
      </c>
      <c r="C10" s="457"/>
      <c r="D10" s="457"/>
      <c r="E10" s="458"/>
      <c r="F10" s="459">
        <f>SUM('แบบ ปร.4_อาคาร'!I28+'แบบ ปร.4_อาคาร'!I49+'แบบ ปร.4_อาคาร'!I70+'แบบ ปร.4_อาคาร'!I91+'แบบ ปร.4_อาคาร'!I112+'แบบ ปร.4_อาคาร'!I133+'แบบ ปร.4_อาคาร'!I154+'แบบ ปร.4_อาคาร'!I175+'แบบ ปร.4_อาคาร'!I196+'แบบ ปร.4_อาคาร'!I217)</f>
        <v>37628650.510000005</v>
      </c>
      <c r="G10" s="339"/>
      <c r="H10" s="340"/>
      <c r="I10" s="340" t="s">
        <v>9</v>
      </c>
    </row>
    <row r="11" spans="1:112">
      <c r="A11" s="341">
        <v>2</v>
      </c>
      <c r="B11" s="338" t="s">
        <v>161</v>
      </c>
      <c r="C11" s="342"/>
      <c r="D11" s="342"/>
      <c r="E11" s="32"/>
      <c r="F11" s="311">
        <f>SUM('แบบ ปร.4ไฟฟ้าภายใน'!I29+'แบบ ปร.4ไฟฟ้าภายใน'!I50+'แบบ ปร.4ไฟฟ้าภายใน'!I71+'แบบ ปร.4ไฟฟ้าภายใน'!I92+'แบบ ปร.4ไฟฟ้าภายใน'!I113+'แบบ ปร.4ไฟฟ้าภายใน'!I134+'แบบ ปร.4ไฟฟ้าภายใน'!I155+'แบบ ปร.4ไฟฟ้าภายใน'!I176+'แบบ ปร.4ไฟฟ้าภายใน'!I197+'แบบ ปร.4ไฟฟ้าภายใน'!I218)</f>
        <v>5913860</v>
      </c>
      <c r="G11" s="187"/>
      <c r="H11" s="21"/>
      <c r="I11" s="21"/>
    </row>
    <row r="12" spans="1:112">
      <c r="A12" s="341">
        <v>3</v>
      </c>
      <c r="B12" s="338" t="s">
        <v>162</v>
      </c>
      <c r="C12" s="342"/>
      <c r="D12" s="342"/>
      <c r="E12" s="32"/>
      <c r="F12" s="311">
        <f>SUM('แบบ ปร.4_ประปาภายใน'!I29+'แบบ ปร.4_ประปาภายใน'!I51+'แบบ ปร.4_ประปาภายใน'!I72+'แบบ ปร.4_ประปาภายใน'!I93+'แบบ ปร.4_ประปาภายใน'!I114+'แบบ ปร.4_ประปาภายใน'!I135+'แบบ ปร.4_ประปาภายใน'!I156+'แบบ ปร.4_ประปาภายใน'!I177+'แบบ ปร.4_ประปาภายใน'!I199+'แบบ ปร.4_ประปาภายใน'!I220+'แบบ ปร.4_ประปาภายใน'!I241+'แบบ ปร.4_ประปาภายใน'!I262+'แบบ ปร.4_ประปาภายใน'!I283)</f>
        <v>4607126</v>
      </c>
      <c r="G12" s="187"/>
      <c r="H12" s="21"/>
      <c r="I12" s="21"/>
      <c r="L12" s="190">
        <f>SUM(F10:F12)</f>
        <v>48149636.510000005</v>
      </c>
    </row>
    <row r="13" spans="1:112">
      <c r="A13" s="341">
        <v>4</v>
      </c>
      <c r="B13" s="490" t="s">
        <v>571</v>
      </c>
      <c r="C13" s="342"/>
      <c r="D13" s="342"/>
      <c r="E13" s="32"/>
      <c r="F13" s="311">
        <f>SUM('แบบ ปร.4 ภูมิ+ถนน+ลาน'!I27+'แบบ ปร.4 ภูมิ+ถนน+ลาน'!I47)</f>
        <v>1290490</v>
      </c>
      <c r="G13" s="187"/>
      <c r="H13" s="21"/>
      <c r="I13" s="21"/>
      <c r="O13" s="1" t="s">
        <v>9</v>
      </c>
    </row>
    <row r="14" spans="1:112">
      <c r="A14" s="341">
        <v>5</v>
      </c>
      <c r="B14" s="490" t="s">
        <v>572</v>
      </c>
      <c r="C14" s="342"/>
      <c r="D14" s="342"/>
      <c r="E14" s="32"/>
      <c r="F14" s="311">
        <f>SUM('แบบ ปร.ไฟฟ้านอก'!I27+'แบบ ปร.ไฟฟ้านอก'!I47+'แบบ ปร.ไฟฟ้านอก'!I67)</f>
        <v>1728393</v>
      </c>
      <c r="G14" s="187"/>
      <c r="H14" s="21"/>
      <c r="I14" s="21"/>
    </row>
    <row r="15" spans="1:112">
      <c r="A15" s="341">
        <v>6</v>
      </c>
      <c r="B15" s="490" t="s">
        <v>573</v>
      </c>
      <c r="C15" s="342"/>
      <c r="D15" s="342"/>
      <c r="E15" s="32"/>
      <c r="F15" s="311">
        <f>SUM('แบบ ปร.ประปานอก'!I27+'แบบ ปร.ประปานอก'!I47+'แบบ ปร.ประปานอก'!I68+'แบบ ปร.ประปานอก'!I88+'แบบ ปร.ประปานอก'!I108+'แบบ ปร.ประปานอก'!I128)</f>
        <v>1229723.6100000001</v>
      </c>
      <c r="G15" s="187"/>
      <c r="H15" s="21"/>
      <c r="I15" s="21"/>
      <c r="L15" s="1" t="s">
        <v>9</v>
      </c>
    </row>
    <row r="16" spans="1:112">
      <c r="A16" s="341"/>
      <c r="B16" s="490"/>
      <c r="C16" s="342"/>
      <c r="D16" s="342"/>
      <c r="E16" s="32"/>
      <c r="F16" s="311"/>
      <c r="G16" s="187"/>
      <c r="H16" s="21"/>
      <c r="I16" s="21"/>
      <c r="K16" s="209"/>
      <c r="L16" s="209"/>
    </row>
    <row r="17" spans="1:112">
      <c r="A17" s="491"/>
      <c r="B17" s="490"/>
      <c r="C17" s="343"/>
      <c r="D17" s="343"/>
      <c r="E17" s="32"/>
      <c r="F17" s="187"/>
      <c r="G17" s="344"/>
      <c r="H17" s="345"/>
      <c r="I17" s="21"/>
      <c r="K17" s="209"/>
      <c r="L17" s="209"/>
      <c r="N17" s="210"/>
    </row>
    <row r="18" spans="1:112">
      <c r="A18" s="346"/>
      <c r="B18" s="490" t="s">
        <v>30</v>
      </c>
      <c r="C18" s="482"/>
      <c r="D18" s="482"/>
      <c r="E18" s="29"/>
      <c r="F18" s="187">
        <f>SUM(F10:F17)</f>
        <v>52398243.120000005</v>
      </c>
      <c r="G18" s="347">
        <f>+O23</f>
        <v>1.2055</v>
      </c>
      <c r="H18" s="187">
        <f>F18*G18</f>
        <v>63166082.081160009</v>
      </c>
      <c r="I18" s="21"/>
      <c r="K18" s="209"/>
      <c r="L18" s="209"/>
    </row>
    <row r="19" spans="1:112" ht="16.5" customHeight="1">
      <c r="A19" s="346"/>
      <c r="B19" s="481"/>
      <c r="C19" s="482"/>
      <c r="D19" s="482"/>
      <c r="E19" s="483"/>
      <c r="F19" s="187"/>
      <c r="G19" s="348"/>
      <c r="H19" s="349"/>
      <c r="I19" s="350"/>
      <c r="K19" s="209"/>
      <c r="L19" s="209"/>
      <c r="Q19" s="1" t="s">
        <v>143</v>
      </c>
      <c r="S19" s="3">
        <f>+IF(K20="งานอาคาร",1,0)</f>
        <v>1</v>
      </c>
      <c r="V19" s="173" t="s">
        <v>145</v>
      </c>
      <c r="X19" s="3">
        <f>+IF(K20="งานสะพานและท่อเหลี่ยม",1,0)</f>
        <v>0</v>
      </c>
      <c r="Z19" s="3" t="s">
        <v>144</v>
      </c>
      <c r="AA19" s="3">
        <f>+G9</f>
        <v>0</v>
      </c>
      <c r="AB19" s="3">
        <f>+IF(K20="งานทาง",1,0)</f>
        <v>0</v>
      </c>
    </row>
    <row r="20" spans="1:112">
      <c r="A20" s="351"/>
      <c r="B20" s="352" t="s">
        <v>12</v>
      </c>
      <c r="C20" s="353"/>
      <c r="D20" s="353"/>
      <c r="E20" s="354"/>
      <c r="F20" s="355"/>
      <c r="G20" s="361"/>
      <c r="H20" s="356"/>
      <c r="I20" s="357"/>
      <c r="K20" s="132" t="str">
        <f>+B2</f>
        <v>งานอาคาร</v>
      </c>
      <c r="L20" s="480"/>
      <c r="M20" s="215"/>
      <c r="N20" s="320" t="s">
        <v>122</v>
      </c>
      <c r="O20" s="216" t="s">
        <v>123</v>
      </c>
      <c r="P20" s="215"/>
      <c r="Q20" s="125"/>
      <c r="R20" s="611" t="s">
        <v>119</v>
      </c>
      <c r="S20" s="612"/>
      <c r="T20" s="613"/>
      <c r="U20" s="217"/>
      <c r="V20" s="611" t="s">
        <v>119</v>
      </c>
      <c r="W20" s="612"/>
      <c r="X20" s="613"/>
      <c r="Y20" s="217"/>
      <c r="Z20" s="611" t="s">
        <v>119</v>
      </c>
      <c r="AA20" s="612"/>
      <c r="AB20" s="613"/>
    </row>
    <row r="21" spans="1:112">
      <c r="A21" s="351"/>
      <c r="B21" s="352" t="s">
        <v>31</v>
      </c>
      <c r="C21" s="353"/>
      <c r="D21" s="353"/>
      <c r="E21" s="354"/>
      <c r="F21" s="400">
        <v>0.15</v>
      </c>
      <c r="G21" s="361"/>
      <c r="H21" s="356"/>
      <c r="I21" s="357"/>
      <c r="K21" s="321" t="s">
        <v>118</v>
      </c>
      <c r="L21" s="321" t="s">
        <v>13</v>
      </c>
      <c r="M21" s="215"/>
      <c r="N21" s="322">
        <f>IF(TYPE(K22)=2,0,F18-K22*1000000)</f>
        <v>2398243.1200000048</v>
      </c>
      <c r="O21" s="323">
        <f>IF(TYPE(K23)=2,L22,L22-L23)</f>
        <v>9.8000000000000309E-3</v>
      </c>
      <c r="P21" s="215"/>
      <c r="Q21" s="122" t="s">
        <v>118</v>
      </c>
      <c r="R21" s="218">
        <v>0</v>
      </c>
      <c r="S21" s="218">
        <v>0.05</v>
      </c>
      <c r="T21" s="218">
        <v>0.1</v>
      </c>
      <c r="U21" s="219"/>
      <c r="V21" s="218">
        <v>0</v>
      </c>
      <c r="W21" s="218">
        <v>0.05</v>
      </c>
      <c r="X21" s="218">
        <v>0.1</v>
      </c>
      <c r="Y21" s="219"/>
      <c r="Z21" s="218">
        <v>0</v>
      </c>
      <c r="AA21" s="218">
        <v>0.05</v>
      </c>
      <c r="AB21" s="218">
        <v>0.1</v>
      </c>
    </row>
    <row r="22" spans="1:112">
      <c r="A22" s="351"/>
      <c r="B22" s="352" t="s">
        <v>15</v>
      </c>
      <c r="C22" s="353"/>
      <c r="D22" s="353"/>
      <c r="E22" s="354"/>
      <c r="F22" s="400">
        <v>0</v>
      </c>
      <c r="G22" s="361"/>
      <c r="H22" s="358"/>
      <c r="I22" s="359"/>
      <c r="J22" s="220"/>
      <c r="K22" s="401">
        <v>50</v>
      </c>
      <c r="L22" s="324">
        <f>IF(K20="งานอาคาร",HLOOKUP(F22,R21:T23,2),IF(K20="งานสะพานและท่อเหลี่ยม",HLOOKUP(F22,V21:X23,2),HLOOKUP(F22,Z21:AB23,2)))</f>
        <v>1.2079</v>
      </c>
      <c r="M22" s="215"/>
      <c r="N22" s="322">
        <f>IF(TYPE(K22)=2,0,(K23-K22)*1000000)</f>
        <v>10000000</v>
      </c>
      <c r="O22" s="323">
        <f>IF(TYPE(K23)=2,0,O21*N21/N22)</f>
        <v>2.350278257600012E-3</v>
      </c>
      <c r="P22" s="215"/>
      <c r="Q22" s="122">
        <f>+K22</f>
        <v>50</v>
      </c>
      <c r="R22" s="221">
        <f>(IF(F22=0,IF(F21=0%,VLOOKUP(K22,FBUILD,2),IF(F21=5%,VLOOKUP(K22,FBUILD,3),IF(F21=10%,VLOOKUP(K22,FBUILD,4),IF(F21=15%,VLOOKUP(K22,FBUILD,5),"ERROR"))))))*S19</f>
        <v>1.2079</v>
      </c>
      <c r="S22" s="222">
        <f>+IF(F22=5%,IF(F21=0%,VLOOKUP(K22,FBUILD,6),IF(F21=5%,VLOOKUP(K22,FBUILD,7),IF(F21=10%,VLOOKUP(K22,FBUILD,8),IF(F21=15%,VLOOKUP(K22,FBUILD,9),"ERROR")))))*S19</f>
        <v>0</v>
      </c>
      <c r="T22" s="223">
        <f>+IF(F22=10%,IF(F21=0%,VLOOKUP(K22,FBUILD,10),IF(F21=5%,VLOOKUP(K22,FBUILD,11),IF(F21=10%,VLOOKUP(K22,FBUILD,12),IF(F21=15%,VLOOKUP(K22,FBUILD,13),"ERROR")))))*S19</f>
        <v>0</v>
      </c>
      <c r="U22" s="224"/>
      <c r="V22" s="221">
        <f>(IF(F22=0,IF(F21=0%,VLOOKUP(K22,FBRIDGE,2),IF(F21=5%,VLOOKUP(K22,FBRIDGE,3),IF(F21=10%,VLOOKUP(K22,FBRIDGE,4),IF(F21=15%,VLOOKUP(K22,FBRIDGE,5),"ERROR"))))))*X19</f>
        <v>0</v>
      </c>
      <c r="W22" s="222">
        <f>+IF(F22=5%,IF(F21=0%,VLOOKUP(K22,FBRIDGE,6),IF(F21=5%,VLOOKUP(K22,FBRIDGE,7),IF(F21=10%,VLOOKUP(K22,FBRIDGE,8),IF(F21=15%,VLOOKUP(K22,FBRIDGE,9),"ERROR")))))*X19</f>
        <v>0</v>
      </c>
      <c r="X22" s="223">
        <f>+IF(F22=10%,IF(F21=0%,VLOOKUP(K22,FBRIDGE,10),IF(F21=5%,VLOOKUP(K22,FBRIDGE,11),IF(F21=10%,VLOOKUP(K22,FBRIDGE,12),IF(F21=15%,VLOOKUP(K22,FBRIDGE,13),"ERROR")))))*X19</f>
        <v>0</v>
      </c>
      <c r="Y22" s="224"/>
      <c r="Z22" s="221">
        <f>(IF(F22=0,IF(F21=0%,VLOOKUP(K22,FROAD,IF(AA19="ปกติ",2,IF(AA19="ฝนชุก1",3,4))),IF(F21=5%,VLOOKUP(K22,FROAD,IF(AA19="ปกติ",5,IF(AA19="ฝนชุก1",6,7))),IF(F21=10%,VLOOKUP(K22,FROAD,IF(AA19="ปกติ",8,IF(AA19="ฝนชุก1",9,10))),IF(F21=15%,VLOOKUP(K22,FROAD,IF(AA19="ปกติ",11,IF(AA19="ฝนชุก1",12,13))),"ERROR"))))))*AB19</f>
        <v>0</v>
      </c>
      <c r="AA22" s="222">
        <f>+IF(F22=5%,IF(F21=0%,VLOOKUP(K22,FROAD,IF(AA19="ปกติ",14,IF(AA19="ฝนชุก1",15,16))),IF(F21=5%,VLOOKUP(K22,FROAD,IF(AA19="ปกติ",17,IF(AA19="ฝนชุก1",18,19))),IF(F21=10%,VLOOKUP(K22,FROAD,IF(AA19="ปกติ",20,IF(AA19="ฝนชุก1",21,22))),IF(F21=15%,VLOOKUP(K22,FROAD,IF(AA19="ปกติ",23,IF(AA19="ฝนชุก1",24,25))),"ERROR")))))*AB19</f>
        <v>0</v>
      </c>
      <c r="AB22" s="223">
        <f>+IF(F22=10%,IF(F21=0%,VLOOKUP(K22,FROAD,IF(AA19="ปกติ",26,IF(AA19="ฝนชุก1",27,28))),IF(F21=5%,VLOOKUP(K22,FROAD,IF(AA19="ปกติ",29,IF(AA19="ฝนชุก1",30,31))),IF(F21=10%,VLOOKUP(K22,FROAD,IF(AA19="ปกติ",32,IF(AA19="ฝนชุก1",33,34))),IF(F21=15%,VLOOKUP(K22,FROAD,IF(AA19="ปกติ",35,IF(AA19="ฝนชุก1",36,37))),"ERROR")))))*AB19</f>
        <v>0</v>
      </c>
    </row>
    <row r="23" spans="1:112">
      <c r="A23" s="351"/>
      <c r="B23" s="352" t="s">
        <v>16</v>
      </c>
      <c r="C23" s="353"/>
      <c r="D23" s="353"/>
      <c r="E23" s="354"/>
      <c r="F23" s="360">
        <v>0.06</v>
      </c>
      <c r="G23" s="361"/>
      <c r="H23" s="350"/>
      <c r="I23" s="357"/>
      <c r="J23" s="220" t="s">
        <v>10</v>
      </c>
      <c r="K23" s="402">
        <v>60</v>
      </c>
      <c r="L23" s="324">
        <f>IF(K20="งานอาคาร",HLOOKUP(F22,R21:T23,3),IF(K20="งานสะพานและท่อเหลี่ยม",HLOOKUP(F22,V21:X23,3),HLOOKUP(F22,Z21:AB23,3)))</f>
        <v>1.1980999999999999</v>
      </c>
      <c r="M23" s="215"/>
      <c r="N23" s="403" t="s">
        <v>142</v>
      </c>
      <c r="O23" s="404">
        <f>ROUND(L22-O22,4)</f>
        <v>1.2055</v>
      </c>
      <c r="P23" s="215"/>
      <c r="Q23" s="122">
        <f>+K23</f>
        <v>60</v>
      </c>
      <c r="R23" s="225">
        <f>IF(F22=0,IF(F21=0%,VLOOKUP(K23,FBUILD,2),IF(F21=5%,VLOOKUP(K23,FBUILD,3),IF(F21=10%,VLOOKUP(K23,FBUILD,4),IF(F21=15%,VLOOKUP(K23,FBUILD,5),"ERROR")))))*S19</f>
        <v>1.1980999999999999</v>
      </c>
      <c r="S23" s="226">
        <f>+IF(F22=5%,IF(F21=0%,VLOOKUP(K23,FBUILD,6),IF(F21=5%,VLOOKUP(K23,FBUILD,7),IF(F21=10%,VLOOKUP(K23,FBUILD,8),IF(F21=15%,VLOOKUP(K23,FBUILD,9),"ERROR")))))*S19</f>
        <v>0</v>
      </c>
      <c r="T23" s="227">
        <f>+IF(F22=10%,IF(F21=0%,VLOOKUP(K23,FBUILD,10),IF(F21=5%,VLOOKUP(K23,FBUILD,11),IF(F21=10%,VLOOKUP(K23,FBUILD,12),IF(F21=15%,VLOOKUP(K23,FBUILD,13),"ERROR")))))*S19</f>
        <v>0</v>
      </c>
      <c r="U23" s="217"/>
      <c r="V23" s="225">
        <f>IF(F22=0,IF(F21=0%,VLOOKUP(K23,FBRIDGE,2),IF(F21=5%,VLOOKUP(K23,FBRIDGE,3),IF(F21=10%,VLOOKUP(K23,FBRIDGE,4),IF(F21=15%,VLOOKUP(K23,FBRIDGE,5),"ERROR")))))*X19</f>
        <v>0</v>
      </c>
      <c r="W23" s="226">
        <f>+IF(F22=5%,IF(F21=0%,VLOOKUP(K23,FBRIDGE,6),IF(F21=5%,VLOOKUP(K23,FBRIDGE,7),IF(F21=10%,VLOOKUP(K23,FBRIDGE,8),IF(F21=15%,VLOOKUP(K23,FBRIDGE,9),"ERROR")))))*X19</f>
        <v>0</v>
      </c>
      <c r="X23" s="227">
        <f>+IF(F22=10%,IF(F21=0%,VLOOKUP(K23,FBRIDGE,10),IF(F21=5%,VLOOKUP(K23,FBRIDGE,11),IF(F21=10%,VLOOKUP(K23,FBRIDGE,12),IF(F21=15%,VLOOKUP(K23,FBRIDGE,13),"ERROR")))))*X19</f>
        <v>0</v>
      </c>
      <c r="Y23" s="217"/>
      <c r="Z23" s="225">
        <f>(IF(F22=0,IF(F21=0%,VLOOKUP(K23,FROAD,IF(AA19="ปกติ",2,IF(AA19="ฝนชุก1",3,4))),IF(F21=5%,VLOOKUP(K23,FROAD,IF(AA19="ปกติ",5,IF(AA19="ฝนชุก1",6,7))),IF(F21=10%,VLOOKUP(K23,FROAD,IF(AA19="ปกติ",8,IF(AA19="ฝนชุก1",9,10))),IF(F21=15%,VLOOKUP(K23,FROAD,IF(AA19="ปกติ",11,IF(AA19="ฝนชุก1",12,13))),"ERROR"))))))*AB19</f>
        <v>0</v>
      </c>
      <c r="AA23" s="226">
        <f>+IF(F22=5%,IF(F21=0%,VLOOKUP(K23,FROAD,IF(AA19="ปกติ",14,IF(AA19="ฝนชุก1",15,16))),IF(F21=5%,VLOOKUP(K23,FROAD,IF(AA19="ปกติ",17,IF(AA19="ฝนชุก1",18,19))),IF(F21=10%,VLOOKUP(K23,FROAD,IF(AA19="ปกติ",20,IF(AA19="ฝนชุก1",21,22))),IF(F21=15%,VLOOKUP(K23,FROAD,IF(AA19="ปกติ",23,IF(AA19="ฝนชุก1",24,25))),"ERROR")))))*AB19</f>
        <v>0</v>
      </c>
      <c r="AB23" s="227">
        <f>+IF(F22=10%,IF(F21=0%,VLOOKUP(K23,FROAD,IF(AA19="ปกติ",26,IF(AA19="ฝนชุก1",27,28))),IF(F21=5%,VLOOKUP(K23,FROAD,IF(AA19="ปกติ",29,IF(AA19="ฝนชุก1",30,31))),IF(F21=10%,VLOOKUP(K23,FROAD,IF(AA19="ปกติ",32,IF(AA19="ฝนชุก1",33,34))),IF(F21=15%,VLOOKUP(K23,FROAD,IF(AA19="ปกติ",35,IF(AA19="ฝนชุก1",36,37))),"ERROR")))))*AB19</f>
        <v>0</v>
      </c>
    </row>
    <row r="24" spans="1:112">
      <c r="A24" s="351"/>
      <c r="B24" s="352" t="s">
        <v>17</v>
      </c>
      <c r="C24" s="353"/>
      <c r="D24" s="353"/>
      <c r="E24" s="354"/>
      <c r="F24" s="360">
        <v>7.0000000000000007E-2</v>
      </c>
      <c r="G24" s="361"/>
      <c r="H24" s="350"/>
      <c r="I24" s="357"/>
      <c r="K24" s="228" t="s">
        <v>305</v>
      </c>
    </row>
    <row r="25" spans="1:112">
      <c r="A25" s="615" t="s">
        <v>23</v>
      </c>
      <c r="B25" s="616"/>
      <c r="C25" s="616"/>
      <c r="D25" s="616"/>
      <c r="E25" s="616"/>
      <c r="F25" s="616"/>
      <c r="G25" s="617"/>
      <c r="H25" s="405">
        <f>SUM(H10:H24)</f>
        <v>63166082.081160009</v>
      </c>
      <c r="I25" s="229"/>
      <c r="K25" s="230"/>
      <c r="L25" s="231" t="s">
        <v>306</v>
      </c>
    </row>
    <row r="26" spans="1:112">
      <c r="A26" s="232"/>
      <c r="B26" s="4"/>
      <c r="C26" s="4"/>
      <c r="D26" s="4"/>
      <c r="E26" s="4"/>
      <c r="F26" s="233"/>
      <c r="G26" s="233"/>
      <c r="H26" s="233"/>
      <c r="I26" s="230"/>
      <c r="J26" s="4"/>
      <c r="K26" s="4"/>
      <c r="L26" s="4"/>
      <c r="M26" s="4"/>
      <c r="N26" s="4"/>
      <c r="O26" s="4"/>
      <c r="P26" s="4"/>
      <c r="Q26" s="4"/>
      <c r="R26" s="479"/>
      <c r="S26" s="479"/>
      <c r="T26" s="479"/>
      <c r="U26" s="479"/>
      <c r="V26" s="479"/>
      <c r="W26" s="479"/>
      <c r="X26" s="479"/>
      <c r="Y26" s="479"/>
      <c r="Z26" s="479"/>
      <c r="AA26" s="479"/>
      <c r="AB26" s="479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</row>
    <row r="27" spans="1:112">
      <c r="A27" s="234"/>
      <c r="C27" s="601" t="s">
        <v>741</v>
      </c>
      <c r="D27" s="194"/>
      <c r="E27" s="233"/>
      <c r="F27" s="4"/>
      <c r="G27" s="233"/>
      <c r="H27" s="233"/>
      <c r="I27" s="230"/>
      <c r="J27" s="4"/>
      <c r="K27" s="4"/>
      <c r="L27" s="4"/>
      <c r="M27" s="4"/>
      <c r="N27" s="4"/>
      <c r="O27" s="4"/>
      <c r="P27" s="4"/>
      <c r="Q27" s="4"/>
      <c r="R27" s="600"/>
      <c r="S27" s="600"/>
      <c r="T27" s="600"/>
      <c r="U27" s="600"/>
      <c r="V27" s="600"/>
      <c r="W27" s="600"/>
      <c r="X27" s="600"/>
      <c r="Y27" s="600"/>
      <c r="Z27" s="600"/>
      <c r="AA27" s="600"/>
      <c r="AB27" s="600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</row>
    <row r="28" spans="1:112">
      <c r="A28" s="235"/>
      <c r="B28" s="602" t="s">
        <v>742</v>
      </c>
      <c r="C28" s="603" t="s">
        <v>748</v>
      </c>
      <c r="D28" s="196" t="s">
        <v>745</v>
      </c>
      <c r="E28" s="4"/>
      <c r="F28" s="4"/>
      <c r="G28" s="194"/>
      <c r="H28" s="236"/>
      <c r="I28" s="236"/>
      <c r="J28" s="4"/>
      <c r="K28" s="194"/>
      <c r="L28" s="236"/>
      <c r="M28" s="236"/>
      <c r="N28" s="4"/>
    </row>
    <row r="29" spans="1:112">
      <c r="B29" s="602"/>
      <c r="C29" s="3"/>
      <c r="D29" s="196"/>
      <c r="E29" s="4"/>
      <c r="F29" s="4"/>
      <c r="G29" s="610"/>
      <c r="H29" s="610"/>
      <c r="I29" s="197"/>
      <c r="J29" s="4"/>
      <c r="K29" s="610"/>
      <c r="L29" s="610"/>
      <c r="M29" s="197"/>
      <c r="N29" s="4"/>
    </row>
    <row r="30" spans="1:112">
      <c r="B30" s="602" t="s">
        <v>742</v>
      </c>
      <c r="C30" s="603" t="s">
        <v>749</v>
      </c>
      <c r="D30" s="196" t="s">
        <v>746</v>
      </c>
      <c r="E30" s="4"/>
      <c r="F30" s="4"/>
      <c r="G30" s="610"/>
      <c r="H30" s="610"/>
      <c r="I30" s="197"/>
      <c r="J30" s="4"/>
      <c r="K30" s="610"/>
      <c r="L30" s="610"/>
      <c r="M30" s="197"/>
      <c r="N30" s="4"/>
    </row>
    <row r="31" spans="1:112">
      <c r="B31" s="602"/>
      <c r="C31" s="3"/>
      <c r="D31" s="196"/>
      <c r="E31" s="4"/>
      <c r="F31" s="4"/>
      <c r="G31" s="610"/>
      <c r="H31" s="610"/>
      <c r="I31" s="600"/>
      <c r="J31" s="4"/>
      <c r="K31" s="610"/>
      <c r="L31" s="610"/>
      <c r="M31" s="600"/>
      <c r="N31" s="4"/>
    </row>
    <row r="32" spans="1:112">
      <c r="B32" s="602" t="s">
        <v>743</v>
      </c>
      <c r="C32" s="603" t="s">
        <v>750</v>
      </c>
      <c r="D32" s="196" t="s">
        <v>747</v>
      </c>
      <c r="E32" s="4"/>
      <c r="F32" s="4"/>
      <c r="G32" s="610"/>
      <c r="H32" s="610"/>
      <c r="I32" s="195"/>
      <c r="J32" s="4"/>
      <c r="K32" s="610"/>
      <c r="L32" s="610"/>
      <c r="M32" s="195"/>
      <c r="N32" s="4"/>
    </row>
    <row r="33" spans="2:14">
      <c r="B33" s="602"/>
      <c r="C33" s="3"/>
      <c r="D33" s="196"/>
      <c r="E33" s="4"/>
      <c r="F33" s="4"/>
      <c r="G33" s="610"/>
      <c r="H33" s="610"/>
      <c r="I33" s="600"/>
      <c r="J33" s="4"/>
      <c r="K33" s="610"/>
      <c r="L33" s="610"/>
      <c r="M33" s="600"/>
      <c r="N33" s="4"/>
    </row>
    <row r="34" spans="2:14">
      <c r="B34" s="602" t="s">
        <v>744</v>
      </c>
      <c r="C34" s="678" t="s">
        <v>751</v>
      </c>
      <c r="D34" s="196" t="s">
        <v>746</v>
      </c>
      <c r="E34" s="4"/>
      <c r="F34" s="4"/>
      <c r="G34" s="610"/>
      <c r="H34" s="610"/>
      <c r="I34" s="195"/>
      <c r="J34" s="4"/>
      <c r="K34" s="610"/>
      <c r="L34" s="610"/>
      <c r="M34" s="195"/>
      <c r="N34" s="4"/>
    </row>
    <row r="35" spans="2:14">
      <c r="B35" s="602"/>
      <c r="C35" s="461"/>
      <c r="D35" s="196"/>
      <c r="E35" s="4"/>
      <c r="F35" s="4"/>
      <c r="G35" s="610"/>
      <c r="H35" s="610"/>
      <c r="I35" s="600"/>
      <c r="J35" s="4"/>
      <c r="K35" s="610"/>
      <c r="L35" s="610"/>
      <c r="M35" s="600"/>
      <c r="N35" s="4"/>
    </row>
    <row r="36" spans="2:14">
      <c r="B36" s="602" t="s">
        <v>744</v>
      </c>
      <c r="C36" s="604" t="s">
        <v>752</v>
      </c>
      <c r="D36" s="196" t="s">
        <v>746</v>
      </c>
      <c r="F36" s="4"/>
      <c r="G36" s="198"/>
      <c r="H36" s="4"/>
      <c r="I36" s="600"/>
      <c r="J36" s="4"/>
      <c r="K36" s="198"/>
      <c r="L36" s="4"/>
      <c r="M36" s="600"/>
      <c r="N36" s="4"/>
    </row>
    <row r="37" spans="2:14">
      <c r="B37" s="602"/>
      <c r="C37" s="3"/>
      <c r="D37" s="196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F38" s="4"/>
      <c r="G38" s="4"/>
      <c r="H38" s="4"/>
      <c r="I38" s="4"/>
      <c r="J38" s="4"/>
      <c r="K38" s="4"/>
      <c r="L38" s="4"/>
      <c r="M38" s="4"/>
      <c r="N38" s="4"/>
    </row>
    <row r="39" spans="2:14">
      <c r="F39" s="4"/>
      <c r="G39" s="4"/>
      <c r="H39" s="4"/>
      <c r="I39" s="4"/>
      <c r="J39" s="4"/>
      <c r="K39" s="4"/>
      <c r="L39" s="4"/>
      <c r="M39" s="4"/>
      <c r="N39" s="4"/>
    </row>
    <row r="40" spans="2:14">
      <c r="F40" s="4"/>
      <c r="G40" s="4"/>
      <c r="H40" s="4"/>
      <c r="I40" s="4"/>
      <c r="J40" s="4"/>
      <c r="K40" s="4"/>
      <c r="L40" s="4"/>
      <c r="M40" s="4"/>
      <c r="N40" s="4"/>
    </row>
    <row r="41" spans="2:14">
      <c r="G41" s="479"/>
      <c r="H41" s="4"/>
      <c r="I41" s="4"/>
    </row>
  </sheetData>
  <dataConsolidate/>
  <mergeCells count="24">
    <mergeCell ref="V20:X20"/>
    <mergeCell ref="Z20:AB20"/>
    <mergeCell ref="A1:I1"/>
    <mergeCell ref="G34:H34"/>
    <mergeCell ref="R20:T20"/>
    <mergeCell ref="A25:G25"/>
    <mergeCell ref="A8:A9"/>
    <mergeCell ref="B8:E9"/>
    <mergeCell ref="I8:I9"/>
    <mergeCell ref="G8:G9"/>
    <mergeCell ref="D5:I5"/>
    <mergeCell ref="G35:H35"/>
    <mergeCell ref="K29:L29"/>
    <mergeCell ref="K30:L30"/>
    <mergeCell ref="K31:L31"/>
    <mergeCell ref="K32:L32"/>
    <mergeCell ref="K33:L33"/>
    <mergeCell ref="K34:L34"/>
    <mergeCell ref="K35:L35"/>
    <mergeCell ref="G29:H29"/>
    <mergeCell ref="G30:H30"/>
    <mergeCell ref="G31:H31"/>
    <mergeCell ref="G32:H32"/>
    <mergeCell ref="G33:H33"/>
  </mergeCells>
  <phoneticPr fontId="3" type="noConversion"/>
  <dataValidations disablePrompts="1" count="5">
    <dataValidation type="list" allowBlank="1" showInputMessage="1" showErrorMessage="1" sqref="K23">
      <formula1>IF(K20="งานอาคาร",BUDJET1,IF(K20="งานทาง",BUDJET2,IF(K20="งานสะพานและท่อเหลี่ยม",BUDJET3,"")))</formula1>
    </dataValidation>
    <dataValidation type="list" allowBlank="1" showInputMessage="1" showErrorMessage="1" sqref="K22">
      <formula1>IF(K20="งานอาคาร",BUDJET1,IF(K20="งานทาง",BUDJET2,IF(K20="งานสะพานและท่อเหลี่ยม",BUDJET3,"")))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  <dataValidation type="list" allowBlank="1" showInputMessage="1" showErrorMessage="1" sqref="F21">
      <formula1>"0%,5%,10%,15%"</formula1>
    </dataValidation>
    <dataValidation type="list" allowBlank="1" showInputMessage="1" showErrorMessage="1" sqref="F22">
      <formula1>"0%,5%,10%"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(ก)   แผ่นที่ 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DB40"/>
  <sheetViews>
    <sheetView showGridLines="0" view="pageBreakPreview" topLeftCell="A27" zoomScaleSheetLayoutView="100" workbookViewId="0">
      <selection sqref="A1:I36"/>
    </sheetView>
  </sheetViews>
  <sheetFormatPr defaultRowHeight="21.75"/>
  <cols>
    <col min="1" max="2" width="11.42578125" style="1" customWidth="1"/>
    <col min="3" max="3" width="18.140625" style="1" customWidth="1"/>
    <col min="4" max="4" width="11.42578125" style="1" customWidth="1"/>
    <col min="5" max="5" width="6.85546875" style="1" customWidth="1"/>
    <col min="6" max="6" width="13.140625" style="3" customWidth="1"/>
    <col min="7" max="7" width="9.28515625" style="3" customWidth="1"/>
    <col min="8" max="8" width="14.28515625" style="1" customWidth="1"/>
    <col min="9" max="9" width="8.5703125" style="1" customWidth="1"/>
    <col min="10" max="106" width="9.140625" style="1"/>
    <col min="107" max="16384" width="9.140625" style="4"/>
  </cols>
  <sheetData>
    <row r="1" spans="1:106" ht="27">
      <c r="A1" s="614" t="s">
        <v>107</v>
      </c>
      <c r="B1" s="614"/>
      <c r="C1" s="614"/>
      <c r="D1" s="614"/>
      <c r="E1" s="614"/>
      <c r="F1" s="614"/>
      <c r="G1" s="614"/>
      <c r="H1" s="614"/>
      <c r="I1" s="614"/>
      <c r="J1" s="23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2" spans="1:106">
      <c r="A2" s="199" t="s">
        <v>96</v>
      </c>
      <c r="B2" s="406" t="str">
        <f>'ใบสรุปแบบ ปร.5 (ก) '!B2</f>
        <v>งานอาคาร</v>
      </c>
      <c r="C2" s="199"/>
      <c r="D2" s="199"/>
      <c r="E2" s="199"/>
      <c r="F2" s="200"/>
      <c r="G2" s="201"/>
      <c r="H2" s="616"/>
      <c r="I2" s="616"/>
      <c r="J2" s="202"/>
    </row>
    <row r="3" spans="1:106">
      <c r="A3" s="12" t="s">
        <v>93</v>
      </c>
      <c r="B3" s="12" t="str">
        <f>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12"/>
      <c r="D3" s="12"/>
      <c r="E3" s="12"/>
      <c r="F3" s="203"/>
      <c r="G3" s="203"/>
      <c r="H3" s="203"/>
      <c r="I3" s="203"/>
      <c r="K3" s="4"/>
    </row>
    <row r="4" spans="1:106">
      <c r="A4" s="12"/>
      <c r="B4" s="12" t="s">
        <v>594</v>
      </c>
      <c r="C4" s="12"/>
      <c r="D4" s="12"/>
      <c r="E4" s="12"/>
      <c r="F4" s="203"/>
      <c r="G4" s="196"/>
      <c r="H4" s="203"/>
      <c r="I4" s="203"/>
      <c r="K4" s="4"/>
    </row>
    <row r="5" spans="1:106">
      <c r="A5" s="12" t="s">
        <v>97</v>
      </c>
      <c r="B5" s="12" t="str">
        <f>+'แบบ ปร.6'!B4</f>
        <v>อ.บ้านฉาง จว.ระยอง</v>
      </c>
      <c r="C5" s="12"/>
      <c r="D5" s="203" t="s">
        <v>14</v>
      </c>
      <c r="E5" s="203" t="s">
        <v>705</v>
      </c>
      <c r="F5" s="203"/>
      <c r="G5" s="343"/>
      <c r="H5" s="12"/>
      <c r="I5" s="12"/>
      <c r="K5" s="4"/>
    </row>
    <row r="6" spans="1:106">
      <c r="A6" s="12" t="s">
        <v>88</v>
      </c>
      <c r="B6" s="12"/>
      <c r="C6" s="12"/>
      <c r="D6" s="12" t="str">
        <f>+'แบบ ปร.6'!C6</f>
        <v>กบร.กร.</v>
      </c>
      <c r="E6" s="12"/>
      <c r="F6" s="12" t="s">
        <v>99</v>
      </c>
      <c r="G6" s="204"/>
      <c r="H6" s="407">
        <v>2</v>
      </c>
      <c r="I6" s="12"/>
      <c r="AG6" s="4"/>
    </row>
    <row r="7" spans="1:106" ht="22.5" thickBot="1">
      <c r="A7" s="12"/>
      <c r="B7" s="12"/>
      <c r="C7" s="12"/>
      <c r="D7" s="12"/>
      <c r="E7" s="12"/>
      <c r="F7" s="12"/>
      <c r="G7" s="204"/>
      <c r="H7" s="12"/>
      <c r="I7" s="12"/>
    </row>
    <row r="8" spans="1:106" ht="22.5" thickTop="1">
      <c r="A8" s="618" t="s">
        <v>0</v>
      </c>
      <c r="B8" s="325" t="s">
        <v>108</v>
      </c>
      <c r="C8" s="326"/>
      <c r="D8" s="326"/>
      <c r="E8" s="327"/>
      <c r="F8" s="484" t="s">
        <v>21</v>
      </c>
      <c r="G8" s="484" t="s">
        <v>105</v>
      </c>
      <c r="H8" s="484" t="s">
        <v>22</v>
      </c>
      <c r="I8" s="618" t="s">
        <v>8</v>
      </c>
      <c r="J8" s="202"/>
    </row>
    <row r="9" spans="1:106" ht="22.5" thickBot="1">
      <c r="A9" s="619"/>
      <c r="B9" s="206"/>
      <c r="C9" s="207"/>
      <c r="D9" s="207"/>
      <c r="E9" s="208"/>
      <c r="F9" s="485" t="s">
        <v>98</v>
      </c>
      <c r="G9" s="485" t="s">
        <v>106</v>
      </c>
      <c r="H9" s="485" t="s">
        <v>98</v>
      </c>
      <c r="I9" s="619"/>
      <c r="J9" s="202"/>
    </row>
    <row r="10" spans="1:106" ht="22.5" thickTop="1">
      <c r="A10" s="177">
        <v>1</v>
      </c>
      <c r="B10" s="237" t="s">
        <v>158</v>
      </c>
      <c r="C10" s="238"/>
      <c r="D10" s="239"/>
      <c r="E10" s="178"/>
      <c r="F10" s="179">
        <f>SUM('แบบ ปร.4_ครุภัณฑ์'!I26)</f>
        <v>7520000</v>
      </c>
      <c r="G10" s="180"/>
      <c r="H10" s="240"/>
      <c r="I10" s="240" t="s">
        <v>9</v>
      </c>
      <c r="N10" s="1" t="s">
        <v>9</v>
      </c>
    </row>
    <row r="11" spans="1:106">
      <c r="A11" s="177">
        <v>2</v>
      </c>
      <c r="B11" s="241" t="s">
        <v>668</v>
      </c>
      <c r="C11" s="239"/>
      <c r="D11" s="239"/>
      <c r="E11" s="178"/>
      <c r="F11" s="179">
        <f>SUM('แบบ ปร.4_ครุภัณฑ์'!I45)</f>
        <v>1670695</v>
      </c>
      <c r="G11" s="180"/>
      <c r="H11" s="240"/>
      <c r="I11" s="240"/>
      <c r="M11" s="1" t="s">
        <v>9</v>
      </c>
    </row>
    <row r="12" spans="1:106">
      <c r="A12" s="177"/>
      <c r="B12" s="241"/>
      <c r="C12" s="239"/>
      <c r="D12" s="239"/>
      <c r="E12" s="178"/>
      <c r="F12" s="179"/>
      <c r="G12" s="180"/>
      <c r="H12" s="240"/>
      <c r="I12" s="240"/>
    </row>
    <row r="13" spans="1:106">
      <c r="A13" s="177"/>
      <c r="B13" s="241"/>
      <c r="C13" s="239"/>
      <c r="D13" s="239"/>
      <c r="E13" s="178"/>
      <c r="F13" s="179"/>
      <c r="G13" s="180"/>
      <c r="H13" s="240"/>
      <c r="I13" s="240"/>
    </row>
    <row r="14" spans="1:106">
      <c r="A14" s="177"/>
      <c r="B14" s="241"/>
      <c r="C14" s="239"/>
      <c r="D14" s="239"/>
      <c r="E14" s="178"/>
      <c r="F14" s="179"/>
      <c r="G14" s="180"/>
      <c r="H14" s="240"/>
      <c r="I14" s="240"/>
    </row>
    <row r="15" spans="1:106">
      <c r="A15" s="177"/>
      <c r="B15" s="241"/>
      <c r="C15" s="239"/>
      <c r="D15" s="239"/>
      <c r="E15" s="178"/>
      <c r="F15" s="179"/>
      <c r="G15" s="180"/>
      <c r="H15" s="240"/>
      <c r="I15" s="240"/>
    </row>
    <row r="16" spans="1:106">
      <c r="A16" s="177"/>
      <c r="B16" s="241"/>
      <c r="C16" s="239"/>
      <c r="D16" s="239"/>
      <c r="E16" s="178"/>
      <c r="F16" s="179"/>
      <c r="G16" s="180"/>
      <c r="H16" s="240"/>
      <c r="I16" s="240"/>
    </row>
    <row r="17" spans="1:106">
      <c r="A17" s="177"/>
      <c r="B17" s="241"/>
      <c r="C17" s="239"/>
      <c r="D17" s="239"/>
      <c r="E17" s="178"/>
      <c r="F17" s="179"/>
      <c r="G17" s="180"/>
      <c r="H17" s="240"/>
      <c r="I17" s="240"/>
    </row>
    <row r="18" spans="1:106">
      <c r="A18" s="177"/>
      <c r="B18" s="241"/>
      <c r="C18" s="239"/>
      <c r="D18" s="239"/>
      <c r="E18" s="178"/>
      <c r="F18" s="179"/>
      <c r="G18" s="180"/>
      <c r="H18" s="240"/>
      <c r="I18" s="240"/>
    </row>
    <row r="19" spans="1:106">
      <c r="A19" s="177"/>
      <c r="B19" s="241"/>
      <c r="C19" s="239"/>
      <c r="D19" s="239"/>
      <c r="E19" s="178"/>
      <c r="F19" s="179"/>
      <c r="G19" s="180"/>
      <c r="H19" s="240"/>
      <c r="I19" s="240"/>
    </row>
    <row r="20" spans="1:106">
      <c r="A20" s="211"/>
      <c r="B20" s="242"/>
      <c r="C20" s="243"/>
      <c r="D20" s="243"/>
      <c r="E20" s="244"/>
      <c r="F20" s="180"/>
      <c r="G20" s="212"/>
      <c r="H20" s="213"/>
      <c r="I20" s="214"/>
    </row>
    <row r="21" spans="1:106" ht="22.5" thickBot="1">
      <c r="A21" s="245"/>
      <c r="B21" s="246"/>
      <c r="C21" s="247"/>
      <c r="D21" s="247"/>
      <c r="E21" s="248"/>
      <c r="F21" s="249"/>
      <c r="G21" s="250"/>
      <c r="H21" s="251"/>
      <c r="I21" s="252"/>
    </row>
    <row r="22" spans="1:106">
      <c r="A22" s="253"/>
      <c r="B22" s="254" t="s">
        <v>103</v>
      </c>
      <c r="C22" s="255"/>
      <c r="D22" s="255"/>
      <c r="E22" s="256"/>
      <c r="F22" s="175">
        <f>SUM(F10:F18)</f>
        <v>9190695</v>
      </c>
      <c r="G22" s="408">
        <v>1.07</v>
      </c>
      <c r="H22" s="257">
        <f>F22*G22</f>
        <v>9834043.6500000004</v>
      </c>
      <c r="I22" s="258"/>
    </row>
    <row r="23" spans="1:106" ht="22.5" thickBot="1">
      <c r="A23" s="245"/>
      <c r="B23" s="246"/>
      <c r="C23" s="247"/>
      <c r="D23" s="247"/>
      <c r="E23" s="248"/>
      <c r="F23" s="249"/>
      <c r="G23" s="250"/>
      <c r="H23" s="245"/>
      <c r="I23" s="252"/>
    </row>
    <row r="24" spans="1:106">
      <c r="A24" s="627" t="s">
        <v>104</v>
      </c>
      <c r="B24" s="628"/>
      <c r="C24" s="628"/>
      <c r="D24" s="628"/>
      <c r="E24" s="628"/>
      <c r="F24" s="628"/>
      <c r="G24" s="629"/>
      <c r="H24" s="409">
        <f>SUM(H10:H23)</f>
        <v>9834043.6500000004</v>
      </c>
      <c r="I24" s="259"/>
    </row>
    <row r="25" spans="1:106">
      <c r="A25" s="232"/>
      <c r="B25" s="4"/>
      <c r="C25" s="4"/>
      <c r="D25" s="4"/>
      <c r="E25" s="4"/>
      <c r="F25" s="233"/>
      <c r="G25" s="233"/>
      <c r="H25" s="233"/>
      <c r="I25" s="23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</row>
    <row r="26" spans="1:106">
      <c r="A26" s="232"/>
      <c r="C26" s="601" t="s">
        <v>741</v>
      </c>
      <c r="D26" s="194"/>
      <c r="E26" s="233"/>
      <c r="F26" s="4"/>
      <c r="G26" s="233"/>
      <c r="H26" s="233"/>
      <c r="I26" s="23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</row>
    <row r="27" spans="1:106">
      <c r="A27" s="202"/>
      <c r="B27" s="602" t="s">
        <v>742</v>
      </c>
      <c r="C27" s="603" t="s">
        <v>748</v>
      </c>
      <c r="D27" s="196" t="s">
        <v>745</v>
      </c>
      <c r="E27" s="4"/>
      <c r="F27" s="4"/>
      <c r="G27" s="194"/>
      <c r="H27" s="236"/>
      <c r="I27" s="236"/>
      <c r="J27" s="4"/>
      <c r="K27" s="4"/>
    </row>
    <row r="28" spans="1:106">
      <c r="B28" s="602"/>
      <c r="C28" s="3"/>
      <c r="D28" s="196"/>
      <c r="E28" s="4"/>
      <c r="F28" s="4"/>
      <c r="G28" s="610"/>
      <c r="H28" s="610"/>
      <c r="I28" s="197"/>
      <c r="J28" s="4"/>
      <c r="K28" s="4"/>
    </row>
    <row r="29" spans="1:106">
      <c r="B29" s="602" t="s">
        <v>742</v>
      </c>
      <c r="C29" s="603" t="s">
        <v>749</v>
      </c>
      <c r="D29" s="196" t="s">
        <v>746</v>
      </c>
      <c r="E29" s="4"/>
      <c r="F29" s="4"/>
      <c r="G29" s="610"/>
      <c r="H29" s="610"/>
      <c r="I29" s="197"/>
      <c r="J29" s="4"/>
      <c r="K29" s="4"/>
    </row>
    <row r="30" spans="1:106">
      <c r="B30" s="602"/>
      <c r="C30" s="3"/>
      <c r="D30" s="196"/>
      <c r="E30" s="4"/>
      <c r="F30" s="4"/>
      <c r="G30" s="610"/>
      <c r="H30" s="610"/>
      <c r="I30" s="479"/>
      <c r="J30" s="4"/>
      <c r="K30" s="4"/>
    </row>
    <row r="31" spans="1:106">
      <c r="B31" s="602" t="s">
        <v>743</v>
      </c>
      <c r="C31" s="603" t="s">
        <v>750</v>
      </c>
      <c r="D31" s="196" t="s">
        <v>747</v>
      </c>
      <c r="E31" s="4"/>
      <c r="F31" s="4"/>
      <c r="G31" s="610"/>
      <c r="H31" s="610"/>
      <c r="I31" s="195"/>
      <c r="J31" s="4"/>
      <c r="K31" s="4"/>
    </row>
    <row r="32" spans="1:106">
      <c r="B32" s="602"/>
      <c r="C32" s="3"/>
      <c r="D32" s="196"/>
      <c r="E32" s="4"/>
      <c r="F32" s="4"/>
      <c r="G32" s="610"/>
      <c r="H32" s="610"/>
      <c r="I32" s="479"/>
      <c r="J32" s="4"/>
      <c r="K32" s="4"/>
    </row>
    <row r="33" spans="2:14">
      <c r="B33" s="602" t="s">
        <v>744</v>
      </c>
      <c r="C33" s="678" t="s">
        <v>751</v>
      </c>
      <c r="D33" s="196" t="s">
        <v>746</v>
      </c>
      <c r="E33" s="4"/>
      <c r="F33" s="4"/>
      <c r="G33" s="610"/>
      <c r="H33" s="610"/>
      <c r="I33" s="195"/>
      <c r="J33" s="4"/>
      <c r="K33" s="4"/>
    </row>
    <row r="34" spans="2:14">
      <c r="B34" s="602"/>
      <c r="C34" s="461"/>
      <c r="D34" s="196"/>
      <c r="E34" s="4"/>
      <c r="F34" s="4"/>
      <c r="G34" s="610"/>
      <c r="H34" s="610"/>
      <c r="I34" s="479"/>
      <c r="J34" s="4"/>
      <c r="K34" s="4"/>
    </row>
    <row r="35" spans="2:14">
      <c r="B35" s="602" t="s">
        <v>744</v>
      </c>
      <c r="C35" s="604" t="s">
        <v>752</v>
      </c>
      <c r="D35" s="196" t="s">
        <v>746</v>
      </c>
      <c r="F35" s="4"/>
      <c r="G35" s="198"/>
      <c r="H35" s="4"/>
      <c r="I35" s="479"/>
      <c r="J35" s="4"/>
      <c r="K35" s="4"/>
      <c r="N35" s="1" t="s">
        <v>9</v>
      </c>
    </row>
    <row r="36" spans="2:14">
      <c r="B36" s="602"/>
      <c r="C36" s="3"/>
      <c r="D36" s="196"/>
      <c r="F36" s="4"/>
      <c r="G36" s="4"/>
      <c r="H36" s="4"/>
      <c r="I36" s="4"/>
      <c r="J36" s="4"/>
      <c r="K36" s="4"/>
    </row>
    <row r="37" spans="2:14">
      <c r="F37" s="4"/>
      <c r="G37" s="4"/>
      <c r="H37" s="4"/>
      <c r="I37" s="4"/>
      <c r="J37" s="4"/>
      <c r="K37" s="4"/>
    </row>
    <row r="38" spans="2:14">
      <c r="F38" s="4"/>
      <c r="G38" s="4"/>
      <c r="H38" s="4"/>
      <c r="I38" s="4"/>
      <c r="J38" s="4"/>
      <c r="K38" s="4"/>
    </row>
    <row r="39" spans="2:14">
      <c r="F39" s="4"/>
      <c r="G39" s="4"/>
      <c r="H39" s="4"/>
      <c r="I39" s="4"/>
      <c r="J39" s="4"/>
      <c r="K39" s="4"/>
    </row>
    <row r="40" spans="2:14">
      <c r="G40" s="479"/>
      <c r="H40" s="4"/>
      <c r="I40" s="4"/>
    </row>
  </sheetData>
  <mergeCells count="12">
    <mergeCell ref="G32:H32"/>
    <mergeCell ref="G33:H33"/>
    <mergeCell ref="G34:H34"/>
    <mergeCell ref="G29:H29"/>
    <mergeCell ref="G30:H30"/>
    <mergeCell ref="G31:H31"/>
    <mergeCell ref="A1:I1"/>
    <mergeCell ref="H2:I2"/>
    <mergeCell ref="A24:G24"/>
    <mergeCell ref="G28:H28"/>
    <mergeCell ref="A8:A9"/>
    <mergeCell ref="I8:I9"/>
  </mergeCells>
  <dataValidations count="1">
    <dataValidation type="list" allowBlank="1" showInputMessage="1" showErrorMessage="1" sqref="H8">
      <formula1>"ค่าก่อสร้าง,ค่าซ่อมแซม,ค่าปรับปรุง,ค่าใช้จ่าย,ค่าจัดซื้อ"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(ข)   แผ่นที่ 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Q220"/>
  <sheetViews>
    <sheetView view="pageBreakPreview" topLeftCell="A206" zoomScale="85" zoomScaleSheetLayoutView="85" workbookViewId="0">
      <selection sqref="A1:J217"/>
    </sheetView>
  </sheetViews>
  <sheetFormatPr defaultRowHeight="21.75"/>
  <cols>
    <col min="1" max="1" width="10.42578125" style="412" customWidth="1"/>
    <col min="2" max="2" width="56.140625" style="267" customWidth="1"/>
    <col min="3" max="3" width="8.5703125" style="267" customWidth="1"/>
    <col min="4" max="4" width="7" style="267" customWidth="1"/>
    <col min="5" max="8" width="11.7109375" style="267" customWidth="1"/>
    <col min="9" max="9" width="13.140625" style="267" customWidth="1"/>
    <col min="10" max="10" width="8.85546875" style="267" customWidth="1"/>
    <col min="11" max="11" width="12" style="267" customWidth="1"/>
    <col min="12" max="12" width="13.85546875" style="196" bestFit="1" customWidth="1"/>
    <col min="13" max="14" width="13.85546875" style="267" bestFit="1" customWidth="1"/>
    <col min="15" max="16384" width="9.140625" style="267"/>
  </cols>
  <sheetData>
    <row r="1" spans="1:13" s="196" customFormat="1" ht="21" customHeight="1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3" s="263" customFormat="1" ht="21" customHeight="1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3" s="196" customFormat="1" ht="21" customHeight="1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580</v>
      </c>
      <c r="H3" s="203"/>
      <c r="I3" s="261"/>
      <c r="J3" s="203"/>
    </row>
    <row r="4" spans="1:13" s="263" customFormat="1" ht="21" customHeight="1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3" s="263" customFormat="1" ht="21" customHeight="1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3" ht="21" customHeight="1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</row>
    <row r="7" spans="1:13" ht="21" customHeight="1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</row>
    <row r="8" spans="1:13" ht="20.100000000000001" customHeight="1" thickTop="1">
      <c r="A8" s="415"/>
      <c r="B8" s="415" t="s">
        <v>307</v>
      </c>
      <c r="C8" s="416"/>
      <c r="D8" s="417"/>
      <c r="E8" s="418"/>
      <c r="F8" s="418"/>
      <c r="G8" s="418"/>
      <c r="H8" s="419"/>
      <c r="I8" s="420"/>
      <c r="J8" s="421"/>
    </row>
    <row r="9" spans="1:13" ht="20.100000000000001" customHeight="1">
      <c r="A9" s="422"/>
      <c r="B9" s="362" t="s">
        <v>163</v>
      </c>
      <c r="C9" s="363"/>
      <c r="D9" s="335"/>
      <c r="E9" s="330" t="s">
        <v>9</v>
      </c>
      <c r="F9" s="330"/>
      <c r="G9" s="330"/>
      <c r="H9" s="364"/>
      <c r="I9" s="332"/>
      <c r="J9" s="272"/>
    </row>
    <row r="10" spans="1:13" ht="20.100000000000001" customHeight="1">
      <c r="A10" s="278"/>
      <c r="B10" s="333" t="s">
        <v>164</v>
      </c>
      <c r="C10" s="363">
        <v>498</v>
      </c>
      <c r="D10" s="335" t="s">
        <v>125</v>
      </c>
      <c r="E10" s="331" t="s">
        <v>124</v>
      </c>
      <c r="F10" s="331" t="s">
        <v>124</v>
      </c>
      <c r="G10" s="329">
        <v>99</v>
      </c>
      <c r="H10" s="329">
        <f>SUM(C10*G10)</f>
        <v>49302</v>
      </c>
      <c r="I10" s="365">
        <f>SUM(H10)</f>
        <v>49302</v>
      </c>
      <c r="J10" s="277"/>
    </row>
    <row r="11" spans="1:13" s="283" customFormat="1" ht="20.100000000000001" customHeight="1">
      <c r="A11" s="278"/>
      <c r="B11" s="333" t="s">
        <v>26</v>
      </c>
      <c r="C11" s="363">
        <v>24</v>
      </c>
      <c r="D11" s="335" t="s">
        <v>125</v>
      </c>
      <c r="E11" s="329">
        <v>2065</v>
      </c>
      <c r="F11" s="329">
        <f>SUM(C11*E11)</f>
        <v>49560</v>
      </c>
      <c r="G11" s="329">
        <v>398</v>
      </c>
      <c r="H11" s="329">
        <f>SUM(C11*G11)</f>
        <v>9552</v>
      </c>
      <c r="I11" s="365">
        <f>SUM(F11+H11)</f>
        <v>59112</v>
      </c>
      <c r="J11" s="277"/>
      <c r="L11" s="284"/>
    </row>
    <row r="12" spans="1:13" ht="20.100000000000001" customHeight="1">
      <c r="A12" s="274"/>
      <c r="B12" s="333" t="s">
        <v>165</v>
      </c>
      <c r="C12" s="363">
        <v>248</v>
      </c>
      <c r="D12" s="335" t="s">
        <v>125</v>
      </c>
      <c r="E12" s="329">
        <v>2140</v>
      </c>
      <c r="F12" s="329">
        <f>SUM(C12*E12)</f>
        <v>530720</v>
      </c>
      <c r="G12" s="329">
        <v>485</v>
      </c>
      <c r="H12" s="329">
        <f>SUM(C12*G12)</f>
        <v>120280</v>
      </c>
      <c r="I12" s="365">
        <f>SUM(F12+H12)</f>
        <v>651000</v>
      </c>
      <c r="J12" s="277"/>
    </row>
    <row r="13" spans="1:13" ht="20.100000000000001" customHeight="1">
      <c r="A13" s="279"/>
      <c r="B13" s="333" t="s">
        <v>166</v>
      </c>
      <c r="C13" s="363">
        <v>515</v>
      </c>
      <c r="D13" s="335" t="s">
        <v>126</v>
      </c>
      <c r="E13" s="330">
        <v>200</v>
      </c>
      <c r="F13" s="329">
        <f>SUM(C13*E13)</f>
        <v>103000</v>
      </c>
      <c r="G13" s="329">
        <v>115</v>
      </c>
      <c r="H13" s="329">
        <f>SUM(C13*G13)</f>
        <v>59225</v>
      </c>
      <c r="I13" s="365">
        <f>SUM(F13+H13)</f>
        <v>162225</v>
      </c>
      <c r="J13" s="277"/>
      <c r="M13" s="267" t="s">
        <v>9</v>
      </c>
    </row>
    <row r="14" spans="1:13" ht="20.100000000000001" customHeight="1">
      <c r="A14" s="279"/>
      <c r="B14" s="333" t="s">
        <v>167</v>
      </c>
      <c r="C14" s="363" t="s">
        <v>9</v>
      </c>
      <c r="D14" s="335" t="s">
        <v>9</v>
      </c>
      <c r="E14" s="329" t="s">
        <v>9</v>
      </c>
      <c r="F14" s="329"/>
      <c r="G14" s="329"/>
      <c r="H14" s="329"/>
      <c r="I14" s="365"/>
      <c r="J14" s="277"/>
    </row>
    <row r="15" spans="1:13" ht="20.100000000000001" customHeight="1">
      <c r="A15" s="279"/>
      <c r="B15" s="333" t="s">
        <v>539</v>
      </c>
      <c r="C15" s="496">
        <v>0.97199999999999998</v>
      </c>
      <c r="D15" s="335" t="s">
        <v>168</v>
      </c>
      <c r="E15" s="329">
        <v>19936</v>
      </c>
      <c r="F15" s="329">
        <f>SUM(C15*E15)</f>
        <v>19377.792000000001</v>
      </c>
      <c r="G15" s="329">
        <v>4100</v>
      </c>
      <c r="H15" s="329">
        <f>SUM(C15*G15)</f>
        <v>3985.2</v>
      </c>
      <c r="I15" s="365">
        <f>SUM(F15+H15)</f>
        <v>23362.992000000002</v>
      </c>
      <c r="J15" s="277"/>
      <c r="M15" s="267" t="s">
        <v>9</v>
      </c>
    </row>
    <row r="16" spans="1:13" ht="20.100000000000001" customHeight="1">
      <c r="A16" s="274"/>
      <c r="B16" s="333" t="s">
        <v>169</v>
      </c>
      <c r="C16" s="363"/>
      <c r="D16" s="335"/>
      <c r="E16" s="329"/>
      <c r="F16" s="329"/>
      <c r="G16" s="329"/>
      <c r="H16" s="329"/>
      <c r="I16" s="365"/>
      <c r="J16" s="277"/>
      <c r="K16" s="286"/>
    </row>
    <row r="17" spans="1:17" ht="20.100000000000001" customHeight="1">
      <c r="A17" s="274"/>
      <c r="B17" s="333" t="s">
        <v>660</v>
      </c>
      <c r="C17" s="496">
        <v>1.613</v>
      </c>
      <c r="D17" s="335" t="s">
        <v>168</v>
      </c>
      <c r="E17" s="329">
        <v>18695</v>
      </c>
      <c r="F17" s="329">
        <f t="shared" ref="F17:F24" si="0">SUM(C17*E17)</f>
        <v>30155.035</v>
      </c>
      <c r="G17" s="329">
        <v>3300</v>
      </c>
      <c r="H17" s="329">
        <f>SUM(C17*G17)</f>
        <v>5322.9</v>
      </c>
      <c r="I17" s="365">
        <f>SUM(F17+H17)</f>
        <v>35477.934999999998</v>
      </c>
      <c r="J17" s="277"/>
      <c r="N17" s="267" t="s">
        <v>9</v>
      </c>
      <c r="Q17" s="267" t="s">
        <v>9</v>
      </c>
    </row>
    <row r="18" spans="1:17" ht="20.100000000000001" customHeight="1">
      <c r="A18" s="460"/>
      <c r="B18" s="333" t="s">
        <v>661</v>
      </c>
      <c r="C18" s="496">
        <v>17.407</v>
      </c>
      <c r="D18" s="335" t="s">
        <v>168</v>
      </c>
      <c r="E18" s="329">
        <v>18962</v>
      </c>
      <c r="F18" s="329">
        <f>SUM(C18*E18)</f>
        <v>330071.53399999999</v>
      </c>
      <c r="G18" s="329">
        <v>2900</v>
      </c>
      <c r="H18" s="329">
        <f>SUM(C18*G18)</f>
        <v>50480.3</v>
      </c>
      <c r="I18" s="365">
        <f>SUM(F18+H18)</f>
        <v>380551.83399999997</v>
      </c>
      <c r="J18" s="277"/>
      <c r="K18" s="286"/>
    </row>
    <row r="19" spans="1:17" ht="20.100000000000001" customHeight="1">
      <c r="A19" s="497"/>
      <c r="B19" s="333" t="s">
        <v>662</v>
      </c>
      <c r="C19" s="496">
        <v>5.0730000000000004</v>
      </c>
      <c r="D19" s="335" t="s">
        <v>168</v>
      </c>
      <c r="E19" s="329">
        <v>18644</v>
      </c>
      <c r="F19" s="329">
        <f>SUM(C19*E19)</f>
        <v>94581.012000000002</v>
      </c>
      <c r="G19" s="329">
        <v>2900</v>
      </c>
      <c r="H19" s="329">
        <f>SUM(C19*G19)</f>
        <v>14711.7</v>
      </c>
      <c r="I19" s="365">
        <f>SUM(F19+H19)</f>
        <v>109292.712</v>
      </c>
      <c r="J19" s="277"/>
      <c r="K19" s="286"/>
      <c r="M19" s="267" t="s">
        <v>9</v>
      </c>
    </row>
    <row r="20" spans="1:17" ht="20.100000000000001" customHeight="1">
      <c r="A20" s="460"/>
      <c r="B20" s="333" t="s">
        <v>25</v>
      </c>
      <c r="C20" s="363">
        <v>752</v>
      </c>
      <c r="D20" s="335" t="s">
        <v>24</v>
      </c>
      <c r="E20" s="329">
        <v>60</v>
      </c>
      <c r="F20" s="329">
        <f t="shared" si="0"/>
        <v>45120</v>
      </c>
      <c r="G20" s="331" t="s">
        <v>124</v>
      </c>
      <c r="H20" s="331" t="s">
        <v>124</v>
      </c>
      <c r="I20" s="365">
        <f>SUM(F20)</f>
        <v>45120</v>
      </c>
      <c r="J20" s="277"/>
      <c r="K20" s="286"/>
      <c r="M20" s="267" t="s">
        <v>9</v>
      </c>
    </row>
    <row r="21" spans="1:17" ht="20.100000000000001" customHeight="1">
      <c r="A21" s="497"/>
      <c r="B21" s="333" t="s">
        <v>170</v>
      </c>
      <c r="C21" s="363">
        <v>129</v>
      </c>
      <c r="D21" s="335" t="s">
        <v>24</v>
      </c>
      <c r="E21" s="329">
        <v>36</v>
      </c>
      <c r="F21" s="329">
        <f t="shared" si="0"/>
        <v>4644</v>
      </c>
      <c r="G21" s="331" t="s">
        <v>124</v>
      </c>
      <c r="H21" s="331" t="s">
        <v>124</v>
      </c>
      <c r="I21" s="365">
        <f>SUM(F21)</f>
        <v>4644</v>
      </c>
      <c r="J21" s="277"/>
      <c r="K21" s="286"/>
    </row>
    <row r="22" spans="1:17" ht="20.100000000000001" customHeight="1">
      <c r="A22" s="497"/>
      <c r="B22" s="279" t="s">
        <v>538</v>
      </c>
      <c r="C22" s="363">
        <v>216</v>
      </c>
      <c r="D22" s="335" t="s">
        <v>171</v>
      </c>
      <c r="E22" s="329">
        <v>14400</v>
      </c>
      <c r="F22" s="329">
        <f t="shared" si="0"/>
        <v>3110400</v>
      </c>
      <c r="G22" s="366" t="s">
        <v>172</v>
      </c>
      <c r="H22" s="367" t="s">
        <v>173</v>
      </c>
      <c r="I22" s="365">
        <f>SUM(F22)</f>
        <v>3110400</v>
      </c>
      <c r="J22" s="277"/>
      <c r="K22" s="286">
        <v>14500</v>
      </c>
      <c r="L22" s="196" t="s">
        <v>308</v>
      </c>
    </row>
    <row r="23" spans="1:17" ht="20.100000000000001" customHeight="1">
      <c r="A23" s="497"/>
      <c r="B23" s="333" t="s">
        <v>174</v>
      </c>
      <c r="C23" s="363">
        <v>216</v>
      </c>
      <c r="D23" s="335" t="s">
        <v>171</v>
      </c>
      <c r="E23" s="329">
        <v>250</v>
      </c>
      <c r="F23" s="329">
        <f t="shared" si="0"/>
        <v>54000</v>
      </c>
      <c r="G23" s="366" t="s">
        <v>172</v>
      </c>
      <c r="H23" s="367" t="s">
        <v>173</v>
      </c>
      <c r="I23" s="365">
        <f>SUM(F23)</f>
        <v>54000</v>
      </c>
      <c r="J23" s="277"/>
      <c r="K23" s="286"/>
    </row>
    <row r="24" spans="1:17" ht="20.100000000000001" customHeight="1">
      <c r="A24" s="460"/>
      <c r="B24" s="333" t="s">
        <v>175</v>
      </c>
      <c r="C24" s="363">
        <v>2</v>
      </c>
      <c r="D24" s="335" t="s">
        <v>171</v>
      </c>
      <c r="E24" s="329">
        <v>25000</v>
      </c>
      <c r="F24" s="329">
        <f t="shared" si="0"/>
        <v>50000</v>
      </c>
      <c r="G24" s="366" t="s">
        <v>172</v>
      </c>
      <c r="H24" s="367" t="s">
        <v>173</v>
      </c>
      <c r="I24" s="365">
        <f>SUM(F24)</f>
        <v>50000</v>
      </c>
      <c r="J24" s="277"/>
      <c r="K24" s="286"/>
    </row>
    <row r="25" spans="1:17" ht="20.100000000000001" customHeight="1">
      <c r="A25" s="460"/>
      <c r="B25" s="279" t="s">
        <v>176</v>
      </c>
      <c r="C25" s="363">
        <v>216</v>
      </c>
      <c r="D25" s="335" t="s">
        <v>171</v>
      </c>
      <c r="E25" s="331" t="s">
        <v>124</v>
      </c>
      <c r="F25" s="331" t="s">
        <v>124</v>
      </c>
      <c r="G25" s="329">
        <v>500</v>
      </c>
      <c r="H25" s="329">
        <f>SUM(C25*G25)</f>
        <v>108000</v>
      </c>
      <c r="I25" s="365">
        <f>SUM(H25)</f>
        <v>108000</v>
      </c>
      <c r="J25" s="277"/>
      <c r="K25" s="286"/>
      <c r="M25" s="286" t="e">
        <f>SUM(I28+I49+I70+#REF!+#REF!)</f>
        <v>#REF!</v>
      </c>
    </row>
    <row r="26" spans="1:17" ht="20.100000000000001" customHeight="1">
      <c r="A26" s="460"/>
      <c r="B26" s="333"/>
      <c r="C26" s="363"/>
      <c r="D26" s="335"/>
      <c r="E26" s="329"/>
      <c r="F26" s="329"/>
      <c r="G26" s="329"/>
      <c r="H26" s="367"/>
      <c r="I26" s="365"/>
      <c r="J26" s="277"/>
      <c r="K26" s="286"/>
      <c r="M26" s="286"/>
    </row>
    <row r="27" spans="1:17" ht="20.100000000000001" customHeight="1">
      <c r="A27" s="460"/>
      <c r="B27" s="288" t="s">
        <v>18</v>
      </c>
      <c r="C27" s="285"/>
      <c r="D27" s="274"/>
      <c r="E27" s="289"/>
      <c r="F27" s="290">
        <f>SUM(F9:F26)</f>
        <v>4421629.3729999997</v>
      </c>
      <c r="G27" s="291"/>
      <c r="H27" s="290">
        <f>SUM(H8:H26)</f>
        <v>420859.10000000003</v>
      </c>
      <c r="I27" s="276"/>
      <c r="J27" s="277"/>
      <c r="K27" s="286">
        <f>+H27+F27</f>
        <v>4842488.4729999993</v>
      </c>
    </row>
    <row r="28" spans="1:17" ht="20.100000000000001" customHeight="1">
      <c r="A28" s="460"/>
      <c r="B28" s="278" t="s">
        <v>86</v>
      </c>
      <c r="C28" s="285"/>
      <c r="D28" s="274"/>
      <c r="E28" s="289"/>
      <c r="F28" s="281"/>
      <c r="G28" s="291"/>
      <c r="H28" s="292"/>
      <c r="I28" s="423">
        <f>SUM(I9:I26)</f>
        <v>4842488.4730000002</v>
      </c>
      <c r="J28" s="277"/>
      <c r="K28" s="286"/>
    </row>
    <row r="29" spans="1:17" s="283" customFormat="1" ht="20.100000000000001" customHeight="1">
      <c r="A29" s="278"/>
      <c r="B29" s="362" t="s">
        <v>100</v>
      </c>
      <c r="C29" s="363" t="s">
        <v>9</v>
      </c>
      <c r="D29" s="335" t="s">
        <v>9</v>
      </c>
      <c r="E29" s="329" t="s">
        <v>9</v>
      </c>
      <c r="F29" s="329" t="s">
        <v>9</v>
      </c>
      <c r="G29" s="331"/>
      <c r="H29" s="331"/>
      <c r="I29" s="332"/>
      <c r="J29" s="277"/>
      <c r="L29" s="284"/>
    </row>
    <row r="30" spans="1:17" s="283" customFormat="1" ht="20.100000000000001" customHeight="1">
      <c r="A30" s="278"/>
      <c r="B30" s="368" t="s">
        <v>177</v>
      </c>
      <c r="C30" s="363">
        <v>896</v>
      </c>
      <c r="D30" s="335" t="s">
        <v>125</v>
      </c>
      <c r="E30" s="329">
        <v>2140</v>
      </c>
      <c r="F30" s="329">
        <f>SUM(C30*E30)</f>
        <v>1917440</v>
      </c>
      <c r="G30" s="329">
        <v>485</v>
      </c>
      <c r="H30" s="329">
        <f>SUM(C30*G30)</f>
        <v>434560</v>
      </c>
      <c r="I30" s="337">
        <f>SUM(F30+H30)</f>
        <v>2352000</v>
      </c>
      <c r="J30" s="277"/>
      <c r="L30" s="284"/>
    </row>
    <row r="31" spans="1:17" s="283" customFormat="1" ht="20.100000000000001" customHeight="1">
      <c r="A31" s="278"/>
      <c r="B31" s="368" t="s">
        <v>178</v>
      </c>
      <c r="C31" s="498">
        <v>0.5</v>
      </c>
      <c r="D31" s="335" t="s">
        <v>125</v>
      </c>
      <c r="E31" s="329">
        <v>20625</v>
      </c>
      <c r="F31" s="329">
        <f>SUM(C31*E31)</f>
        <v>10312.5</v>
      </c>
      <c r="G31" s="366" t="s">
        <v>172</v>
      </c>
      <c r="H31" s="499" t="s">
        <v>173</v>
      </c>
      <c r="I31" s="337">
        <f>SUM(F31)</f>
        <v>10312.5</v>
      </c>
      <c r="J31" s="277"/>
      <c r="L31" s="284"/>
    </row>
    <row r="32" spans="1:17" ht="20.100000000000001" customHeight="1">
      <c r="A32" s="279"/>
      <c r="B32" s="368" t="s">
        <v>179</v>
      </c>
      <c r="C32" s="363">
        <v>9429</v>
      </c>
      <c r="D32" s="335" t="s">
        <v>126</v>
      </c>
      <c r="E32" s="329">
        <v>200</v>
      </c>
      <c r="F32" s="329">
        <f>SUM(C32*E32)</f>
        <v>1885800</v>
      </c>
      <c r="G32" s="329">
        <v>115</v>
      </c>
      <c r="H32" s="329">
        <f>SUM(C32*G32)</f>
        <v>1084335</v>
      </c>
      <c r="I32" s="337">
        <f>SUM(F32+H32)</f>
        <v>2970135</v>
      </c>
      <c r="J32" s="277"/>
    </row>
    <row r="33" spans="1:14" ht="20.100000000000001" customHeight="1">
      <c r="A33" s="279"/>
      <c r="B33" s="368" t="s">
        <v>180</v>
      </c>
      <c r="C33" s="363"/>
      <c r="D33" s="335"/>
      <c r="E33" s="330"/>
      <c r="F33" s="329"/>
      <c r="G33" s="329"/>
      <c r="H33" s="329"/>
      <c r="I33" s="337"/>
      <c r="J33" s="277"/>
      <c r="M33" s="267" t="s">
        <v>9</v>
      </c>
    </row>
    <row r="34" spans="1:14" ht="20.100000000000001" customHeight="1">
      <c r="A34" s="279"/>
      <c r="B34" s="333" t="s">
        <v>540</v>
      </c>
      <c r="C34" s="496">
        <v>10.371</v>
      </c>
      <c r="D34" s="335" t="s">
        <v>168</v>
      </c>
      <c r="E34" s="330">
        <v>21266</v>
      </c>
      <c r="F34" s="329">
        <f>SUM(C34*E34)</f>
        <v>220549.68600000002</v>
      </c>
      <c r="G34" s="329">
        <v>4100</v>
      </c>
      <c r="H34" s="329">
        <f>SUM(C34*G34)</f>
        <v>42521.1</v>
      </c>
      <c r="I34" s="337">
        <f>SUM(F34+H34)</f>
        <v>263070.78600000002</v>
      </c>
      <c r="J34" s="277"/>
    </row>
    <row r="35" spans="1:14" ht="20.100000000000001" customHeight="1">
      <c r="A35" s="279"/>
      <c r="B35" s="333" t="s">
        <v>539</v>
      </c>
      <c r="C35" s="500">
        <v>18.45</v>
      </c>
      <c r="D35" s="335" t="s">
        <v>168</v>
      </c>
      <c r="E35" s="329">
        <v>19936</v>
      </c>
      <c r="F35" s="329">
        <f>SUM(C35*E35)</f>
        <v>367819.2</v>
      </c>
      <c r="G35" s="329">
        <v>4100</v>
      </c>
      <c r="H35" s="329">
        <f>SUM(C35*G35)</f>
        <v>75645</v>
      </c>
      <c r="I35" s="337">
        <f>SUM(F35+H35)</f>
        <v>443464.2</v>
      </c>
      <c r="J35" s="277"/>
    </row>
    <row r="36" spans="1:14" ht="20.100000000000001" customHeight="1">
      <c r="A36" s="279"/>
      <c r="B36" s="368" t="s">
        <v>181</v>
      </c>
      <c r="C36" s="363"/>
      <c r="D36" s="335"/>
      <c r="E36" s="330"/>
      <c r="F36" s="329"/>
      <c r="G36" s="329"/>
      <c r="H36" s="329"/>
      <c r="I36" s="337"/>
      <c r="J36" s="277"/>
    </row>
    <row r="37" spans="1:14" ht="20.100000000000001" customHeight="1">
      <c r="A37" s="278"/>
      <c r="B37" s="333" t="s">
        <v>663</v>
      </c>
      <c r="C37" s="496">
        <v>13.412000000000001</v>
      </c>
      <c r="D37" s="335" t="s">
        <v>168</v>
      </c>
      <c r="E37" s="329">
        <v>19189</v>
      </c>
      <c r="F37" s="329">
        <f t="shared" ref="F37:F42" si="1">SUM(C37*E37)</f>
        <v>257362.86800000002</v>
      </c>
      <c r="G37" s="329">
        <v>3300</v>
      </c>
      <c r="H37" s="329">
        <f>SUM(C37*G37)</f>
        <v>44259.600000000006</v>
      </c>
      <c r="I37" s="365">
        <f>SUM(F37+H37)</f>
        <v>301622.46799999999</v>
      </c>
      <c r="J37" s="277"/>
    </row>
    <row r="38" spans="1:14" s="283" customFormat="1" ht="20.100000000000001" customHeight="1">
      <c r="A38" s="278"/>
      <c r="B38" s="333" t="s">
        <v>660</v>
      </c>
      <c r="C38" s="496">
        <v>32.645000000000003</v>
      </c>
      <c r="D38" s="335" t="s">
        <v>168</v>
      </c>
      <c r="E38" s="329">
        <v>18695</v>
      </c>
      <c r="F38" s="329">
        <f t="shared" si="1"/>
        <v>610298.27500000002</v>
      </c>
      <c r="G38" s="329">
        <v>3300</v>
      </c>
      <c r="H38" s="329">
        <f>SUM(C38*G38)</f>
        <v>107728.50000000001</v>
      </c>
      <c r="I38" s="365">
        <f>SUM(F38+H38)</f>
        <v>718026.77500000002</v>
      </c>
      <c r="J38" s="277"/>
      <c r="L38" s="284" t="s">
        <v>9</v>
      </c>
    </row>
    <row r="39" spans="1:14" s="283" customFormat="1" ht="20.100000000000001" customHeight="1">
      <c r="A39" s="278"/>
      <c r="B39" s="333" t="s">
        <v>661</v>
      </c>
      <c r="C39" s="496">
        <v>32.085999999999999</v>
      </c>
      <c r="D39" s="335" t="s">
        <v>168</v>
      </c>
      <c r="E39" s="329">
        <v>18962</v>
      </c>
      <c r="F39" s="329">
        <f t="shared" si="1"/>
        <v>608414.73199999996</v>
      </c>
      <c r="G39" s="329">
        <v>2900</v>
      </c>
      <c r="H39" s="329">
        <f>SUM(C39*G39)</f>
        <v>93049.4</v>
      </c>
      <c r="I39" s="365">
        <f>SUM(F39+H39)</f>
        <v>701464.13199999998</v>
      </c>
      <c r="J39" s="277"/>
      <c r="L39" s="284"/>
    </row>
    <row r="40" spans="1:14" ht="20.100000000000001" customHeight="1">
      <c r="A40" s="460"/>
      <c r="B40" s="333" t="s">
        <v>662</v>
      </c>
      <c r="C40" s="496">
        <v>7.0039999999999996</v>
      </c>
      <c r="D40" s="335" t="s">
        <v>168</v>
      </c>
      <c r="E40" s="329">
        <v>18644</v>
      </c>
      <c r="F40" s="329">
        <f>SUM(C40*E40)</f>
        <v>130582.57599999999</v>
      </c>
      <c r="G40" s="329">
        <v>2900</v>
      </c>
      <c r="H40" s="329">
        <f>SUM(C40*G40)</f>
        <v>20311.599999999999</v>
      </c>
      <c r="I40" s="365">
        <f>SUM(F40+H40)</f>
        <v>150894.17599999998</v>
      </c>
      <c r="J40" s="277"/>
      <c r="K40" s="286"/>
    </row>
    <row r="41" spans="1:14" ht="20.100000000000001" customHeight="1">
      <c r="A41" s="460"/>
      <c r="B41" s="368" t="s">
        <v>182</v>
      </c>
      <c r="C41" s="363">
        <v>2358</v>
      </c>
      <c r="D41" s="335" t="s">
        <v>24</v>
      </c>
      <c r="E41" s="329">
        <v>36</v>
      </c>
      <c r="F41" s="329">
        <f t="shared" si="1"/>
        <v>84888</v>
      </c>
      <c r="G41" s="331" t="s">
        <v>124</v>
      </c>
      <c r="H41" s="331" t="s">
        <v>124</v>
      </c>
      <c r="I41" s="337">
        <f>SUM(F41)</f>
        <v>84888</v>
      </c>
      <c r="J41" s="277"/>
      <c r="K41" s="286"/>
    </row>
    <row r="42" spans="1:14" ht="20.100000000000001" customHeight="1">
      <c r="A42" s="460"/>
      <c r="B42" s="368" t="s">
        <v>183</v>
      </c>
      <c r="C42" s="363">
        <v>3420</v>
      </c>
      <c r="D42" s="335" t="s">
        <v>24</v>
      </c>
      <c r="E42" s="329">
        <v>60</v>
      </c>
      <c r="F42" s="329">
        <f t="shared" si="1"/>
        <v>205200</v>
      </c>
      <c r="G42" s="331" t="s">
        <v>124</v>
      </c>
      <c r="H42" s="331" t="s">
        <v>124</v>
      </c>
      <c r="I42" s="337">
        <f>SUM(F42)</f>
        <v>205200</v>
      </c>
      <c r="J42" s="277"/>
      <c r="K42" s="286"/>
      <c r="M42" s="267" t="s">
        <v>9</v>
      </c>
    </row>
    <row r="43" spans="1:14" ht="20.100000000000001" customHeight="1">
      <c r="A43" s="296"/>
      <c r="B43" s="368" t="s">
        <v>184</v>
      </c>
      <c r="C43" s="369"/>
      <c r="D43" s="370"/>
      <c r="E43" s="371"/>
      <c r="F43" s="371"/>
      <c r="G43" s="371"/>
      <c r="H43" s="372"/>
      <c r="I43" s="373"/>
      <c r="J43" s="277"/>
      <c r="K43" s="286"/>
      <c r="L43" s="424"/>
    </row>
    <row r="44" spans="1:14" ht="20.100000000000001" customHeight="1">
      <c r="A44" s="277"/>
      <c r="B44" s="501" t="s">
        <v>185</v>
      </c>
      <c r="C44" s="363">
        <v>864</v>
      </c>
      <c r="D44" s="335" t="s">
        <v>126</v>
      </c>
      <c r="E44" s="329">
        <v>465</v>
      </c>
      <c r="F44" s="329">
        <f>SUM(C44*E44)</f>
        <v>401760</v>
      </c>
      <c r="G44" s="329">
        <v>50</v>
      </c>
      <c r="H44" s="329">
        <f>SUM(C44*G44)</f>
        <v>43200</v>
      </c>
      <c r="I44" s="337">
        <f>SUM(F44+H44)</f>
        <v>444960</v>
      </c>
      <c r="J44" s="277"/>
      <c r="K44" s="286"/>
    </row>
    <row r="45" spans="1:14" ht="20.100000000000001" customHeight="1">
      <c r="A45" s="277"/>
      <c r="B45" s="368" t="s">
        <v>186</v>
      </c>
      <c r="C45" s="369"/>
      <c r="D45" s="370"/>
      <c r="E45" s="371"/>
      <c r="F45" s="371"/>
      <c r="G45" s="371"/>
      <c r="H45" s="372"/>
      <c r="I45" s="373"/>
      <c r="J45" s="297"/>
      <c r="K45" s="286"/>
    </row>
    <row r="46" spans="1:14" ht="20.100000000000001" customHeight="1">
      <c r="A46" s="296"/>
      <c r="B46" s="501" t="s">
        <v>187</v>
      </c>
      <c r="C46" s="363">
        <v>3802</v>
      </c>
      <c r="D46" s="335" t="s">
        <v>126</v>
      </c>
      <c r="E46" s="329">
        <v>280</v>
      </c>
      <c r="F46" s="329">
        <f>SUM(C46*E46)</f>
        <v>1064560</v>
      </c>
      <c r="G46" s="329">
        <v>25</v>
      </c>
      <c r="H46" s="329">
        <f>SUM(C46*G46)</f>
        <v>95050</v>
      </c>
      <c r="I46" s="337">
        <f>SUM(F46+H46)</f>
        <v>1159610</v>
      </c>
      <c r="J46" s="277"/>
      <c r="N46" s="502">
        <f>SUM(C44:C46)</f>
        <v>4666</v>
      </c>
    </row>
    <row r="47" spans="1:14" ht="20.100000000000001" customHeight="1">
      <c r="A47" s="300"/>
      <c r="B47" s="279"/>
      <c r="C47" s="299"/>
      <c r="D47" s="274"/>
      <c r="E47" s="281"/>
      <c r="F47" s="281"/>
      <c r="G47" s="301"/>
      <c r="H47" s="281"/>
      <c r="I47" s="282"/>
      <c r="J47" s="277"/>
      <c r="K47" s="286"/>
    </row>
    <row r="48" spans="1:14" s="283" customFormat="1" ht="20.100000000000001" customHeight="1">
      <c r="A48" s="460"/>
      <c r="B48" s="288" t="s">
        <v>18</v>
      </c>
      <c r="C48" s="285"/>
      <c r="D48" s="274"/>
      <c r="E48" s="289"/>
      <c r="F48" s="290">
        <f>SUM(F29:F47)</f>
        <v>7764987.8370000003</v>
      </c>
      <c r="G48" s="291"/>
      <c r="H48" s="290">
        <f>SUM(H29:H46)</f>
        <v>2040660.2000000002</v>
      </c>
      <c r="I48" s="276"/>
      <c r="J48" s="277"/>
      <c r="K48" s="286">
        <f>+H48+F48</f>
        <v>9805648.0370000005</v>
      </c>
      <c r="L48" s="284"/>
    </row>
    <row r="49" spans="1:12" s="283" customFormat="1" ht="20.100000000000001" customHeight="1">
      <c r="A49" s="460"/>
      <c r="B49" s="278" t="s">
        <v>86</v>
      </c>
      <c r="C49" s="285"/>
      <c r="D49" s="274"/>
      <c r="E49" s="289"/>
      <c r="F49" s="281"/>
      <c r="G49" s="291"/>
      <c r="H49" s="292"/>
      <c r="I49" s="423">
        <f>SUM(I29:I47)</f>
        <v>9805648.0370000005</v>
      </c>
      <c r="J49" s="277"/>
      <c r="L49" s="284"/>
    </row>
    <row r="50" spans="1:12" s="283" customFormat="1" ht="20.100000000000001" customHeight="1">
      <c r="A50" s="278"/>
      <c r="B50" s="362" t="s">
        <v>188</v>
      </c>
      <c r="C50" s="369"/>
      <c r="D50" s="370"/>
      <c r="E50" s="371"/>
      <c r="F50" s="371"/>
      <c r="G50" s="371"/>
      <c r="H50" s="372"/>
      <c r="I50" s="373"/>
      <c r="J50" s="277"/>
      <c r="L50" s="284"/>
    </row>
    <row r="51" spans="1:12" ht="20.100000000000001" customHeight="1">
      <c r="A51" s="278"/>
      <c r="B51" s="333" t="s">
        <v>189</v>
      </c>
      <c r="C51" s="363">
        <v>5172</v>
      </c>
      <c r="D51" s="335" t="s">
        <v>126</v>
      </c>
      <c r="E51" s="329">
        <v>47</v>
      </c>
      <c r="F51" s="329">
        <f>SUM(C51*E51)</f>
        <v>243084</v>
      </c>
      <c r="G51" s="329">
        <v>5</v>
      </c>
      <c r="H51" s="329">
        <f>SUM(C51*G51)</f>
        <v>25860</v>
      </c>
      <c r="I51" s="337">
        <f>SUM(F51+H51)</f>
        <v>268944</v>
      </c>
      <c r="J51" s="277"/>
    </row>
    <row r="52" spans="1:12" ht="20.100000000000001" customHeight="1">
      <c r="A52" s="278"/>
      <c r="B52" s="333" t="s">
        <v>190</v>
      </c>
      <c r="C52" s="274">
        <v>240</v>
      </c>
      <c r="D52" s="335" t="s">
        <v>125</v>
      </c>
      <c r="E52" s="329">
        <v>2140</v>
      </c>
      <c r="F52" s="329">
        <f>SUM(C52*E52)</f>
        <v>513600</v>
      </c>
      <c r="G52" s="329">
        <v>485</v>
      </c>
      <c r="H52" s="329">
        <f>SUM(C52*G52)</f>
        <v>116400</v>
      </c>
      <c r="I52" s="337">
        <f>SUM(F52+H52)</f>
        <v>630000</v>
      </c>
      <c r="J52" s="277"/>
    </row>
    <row r="53" spans="1:12" ht="20.100000000000001" customHeight="1">
      <c r="A53" s="278"/>
      <c r="B53" s="333" t="s">
        <v>191</v>
      </c>
      <c r="C53" s="274"/>
      <c r="D53" s="335"/>
      <c r="E53" s="329"/>
      <c r="F53" s="329"/>
      <c r="G53" s="329"/>
      <c r="H53" s="329"/>
      <c r="I53" s="337"/>
      <c r="J53" s="277"/>
    </row>
    <row r="54" spans="1:12" s="283" customFormat="1" ht="20.100000000000001" customHeight="1">
      <c r="A54" s="278"/>
      <c r="B54" s="333" t="s">
        <v>192</v>
      </c>
      <c r="C54" s="363">
        <v>105</v>
      </c>
      <c r="D54" s="335" t="s">
        <v>130</v>
      </c>
      <c r="E54" s="329">
        <v>35</v>
      </c>
      <c r="F54" s="329">
        <f>SUM(C54*E54)</f>
        <v>3675</v>
      </c>
      <c r="G54" s="366" t="s">
        <v>172</v>
      </c>
      <c r="H54" s="367" t="s">
        <v>173</v>
      </c>
      <c r="I54" s="365">
        <f>SUM(F54)</f>
        <v>3675</v>
      </c>
      <c r="J54" s="277"/>
      <c r="L54" s="284"/>
    </row>
    <row r="55" spans="1:12" s="283" customFormat="1" ht="20.100000000000001" customHeight="1">
      <c r="A55" s="278"/>
      <c r="B55" s="368" t="s">
        <v>193</v>
      </c>
      <c r="C55" s="274">
        <v>383</v>
      </c>
      <c r="D55" s="274" t="s">
        <v>126</v>
      </c>
      <c r="E55" s="331" t="s">
        <v>124</v>
      </c>
      <c r="F55" s="331" t="s">
        <v>124</v>
      </c>
      <c r="G55" s="329">
        <v>20</v>
      </c>
      <c r="H55" s="329">
        <f>SUM(C55*G55)</f>
        <v>7660</v>
      </c>
      <c r="I55" s="365">
        <f>SUM(H55)</f>
        <v>7660</v>
      </c>
      <c r="J55" s="277"/>
      <c r="L55" s="284"/>
    </row>
    <row r="56" spans="1:12" s="283" customFormat="1" ht="20.100000000000001" customHeight="1">
      <c r="A56" s="278"/>
      <c r="B56" s="368" t="s">
        <v>194</v>
      </c>
      <c r="C56" s="274">
        <v>81</v>
      </c>
      <c r="D56" s="335" t="s">
        <v>125</v>
      </c>
      <c r="E56" s="329">
        <v>200</v>
      </c>
      <c r="F56" s="329">
        <f>SUM(C56*E56)</f>
        <v>16200</v>
      </c>
      <c r="G56" s="331" t="s">
        <v>124</v>
      </c>
      <c r="H56" s="331" t="s">
        <v>124</v>
      </c>
      <c r="I56" s="337">
        <f>SUM(F56)</f>
        <v>16200</v>
      </c>
      <c r="J56" s="277"/>
      <c r="L56" s="284"/>
    </row>
    <row r="57" spans="1:12" s="283" customFormat="1" ht="20.100000000000001" customHeight="1">
      <c r="A57" s="278"/>
      <c r="B57" s="333" t="s">
        <v>195</v>
      </c>
      <c r="C57" s="467">
        <v>81</v>
      </c>
      <c r="D57" s="467" t="s">
        <v>125</v>
      </c>
      <c r="E57" s="331" t="s">
        <v>124</v>
      </c>
      <c r="F57" s="331" t="s">
        <v>124</v>
      </c>
      <c r="G57" s="329">
        <v>20</v>
      </c>
      <c r="H57" s="329">
        <f>SUM(C57*G57)</f>
        <v>1620</v>
      </c>
      <c r="I57" s="365">
        <f>SUM(H57)</f>
        <v>1620</v>
      </c>
      <c r="J57" s="277"/>
      <c r="L57" s="284"/>
    </row>
    <row r="58" spans="1:12" ht="20.100000000000001" customHeight="1">
      <c r="A58" s="278"/>
      <c r="B58" s="368" t="s">
        <v>196</v>
      </c>
      <c r="C58" s="363">
        <v>52</v>
      </c>
      <c r="D58" s="335" t="s">
        <v>125</v>
      </c>
      <c r="E58" s="330">
        <v>514</v>
      </c>
      <c r="F58" s="329">
        <f>SUM(C58*E58)</f>
        <v>26728</v>
      </c>
      <c r="G58" s="329">
        <v>99</v>
      </c>
      <c r="H58" s="329">
        <f>SUM(C58*G58)</f>
        <v>5148</v>
      </c>
      <c r="I58" s="337">
        <f>SUM(F58+H58)</f>
        <v>31876</v>
      </c>
      <c r="J58" s="277"/>
    </row>
    <row r="59" spans="1:12" ht="20.100000000000001" customHeight="1">
      <c r="A59" s="278"/>
      <c r="B59" s="279" t="s">
        <v>197</v>
      </c>
      <c r="C59" s="503">
        <v>85</v>
      </c>
      <c r="D59" s="274" t="s">
        <v>126</v>
      </c>
      <c r="E59" s="330">
        <v>70</v>
      </c>
      <c r="F59" s="329">
        <f>SUM(C59*E59)</f>
        <v>5950</v>
      </c>
      <c r="G59" s="366" t="s">
        <v>198</v>
      </c>
      <c r="H59" s="499" t="s">
        <v>173</v>
      </c>
      <c r="I59" s="365">
        <f>SUM(F59)</f>
        <v>5950</v>
      </c>
      <c r="J59" s="277"/>
      <c r="L59" s="424"/>
    </row>
    <row r="60" spans="1:12" ht="20.100000000000001" customHeight="1">
      <c r="A60" s="278"/>
      <c r="B60" s="333" t="s">
        <v>199</v>
      </c>
      <c r="C60" s="363">
        <v>211</v>
      </c>
      <c r="D60" s="335" t="s">
        <v>127</v>
      </c>
      <c r="E60" s="330">
        <v>30</v>
      </c>
      <c r="F60" s="329">
        <f>SUM(C60*E60)</f>
        <v>6330</v>
      </c>
      <c r="G60" s="366" t="s">
        <v>198</v>
      </c>
      <c r="H60" s="499" t="s">
        <v>173</v>
      </c>
      <c r="I60" s="365">
        <f>SUM(F60)</f>
        <v>6330</v>
      </c>
      <c r="J60" s="277"/>
    </row>
    <row r="61" spans="1:12" ht="20.100000000000001" customHeight="1">
      <c r="A61" s="278"/>
      <c r="B61" s="333" t="s">
        <v>200</v>
      </c>
      <c r="C61" s="363">
        <v>103</v>
      </c>
      <c r="D61" s="335" t="s">
        <v>130</v>
      </c>
      <c r="E61" s="330">
        <v>25</v>
      </c>
      <c r="F61" s="329">
        <f>SUM(C61*E61)</f>
        <v>2575</v>
      </c>
      <c r="G61" s="366" t="s">
        <v>198</v>
      </c>
      <c r="H61" s="499" t="s">
        <v>173</v>
      </c>
      <c r="I61" s="365">
        <f>SUM(F61)</f>
        <v>2575</v>
      </c>
      <c r="J61" s="277"/>
      <c r="K61" s="286"/>
    </row>
    <row r="62" spans="1:12" ht="20.100000000000001" customHeight="1">
      <c r="A62" s="278"/>
      <c r="B62" s="333" t="s">
        <v>201</v>
      </c>
      <c r="C62" s="363">
        <v>209</v>
      </c>
      <c r="D62" s="335" t="s">
        <v>130</v>
      </c>
      <c r="E62" s="330">
        <v>15</v>
      </c>
      <c r="F62" s="329">
        <f>SUM(C62*E62)</f>
        <v>3135</v>
      </c>
      <c r="G62" s="366" t="s">
        <v>198</v>
      </c>
      <c r="H62" s="499" t="s">
        <v>173</v>
      </c>
      <c r="I62" s="365">
        <f>SUM(F62)</f>
        <v>3135</v>
      </c>
      <c r="J62" s="277"/>
      <c r="K62" s="286"/>
    </row>
    <row r="63" spans="1:12" ht="20.100000000000001" customHeight="1">
      <c r="A63" s="278"/>
      <c r="B63" s="287" t="s">
        <v>202</v>
      </c>
      <c r="C63" s="374"/>
      <c r="D63" s="274"/>
      <c r="E63" s="375"/>
      <c r="F63" s="375"/>
      <c r="G63" s="375"/>
      <c r="H63" s="375"/>
      <c r="I63" s="376"/>
      <c r="J63" s="277"/>
      <c r="K63" s="286"/>
    </row>
    <row r="64" spans="1:12" ht="20.100000000000001" customHeight="1">
      <c r="A64" s="278"/>
      <c r="B64" s="279" t="s">
        <v>203</v>
      </c>
      <c r="C64" s="374">
        <v>8</v>
      </c>
      <c r="D64" s="274" t="s">
        <v>204</v>
      </c>
      <c r="E64" s="331" t="s">
        <v>124</v>
      </c>
      <c r="F64" s="331" t="s">
        <v>124</v>
      </c>
      <c r="G64" s="329">
        <v>500</v>
      </c>
      <c r="H64" s="329">
        <f>SUM(C64*G64)</f>
        <v>4000</v>
      </c>
      <c r="I64" s="365">
        <f>SUM(H64)</f>
        <v>4000</v>
      </c>
      <c r="J64" s="277"/>
      <c r="K64" s="286"/>
    </row>
    <row r="65" spans="1:15" ht="20.100000000000001" customHeight="1">
      <c r="A65" s="278"/>
      <c r="B65" s="333" t="s">
        <v>205</v>
      </c>
      <c r="C65" s="363">
        <v>2360</v>
      </c>
      <c r="D65" s="335" t="s">
        <v>126</v>
      </c>
      <c r="E65" s="329">
        <v>55</v>
      </c>
      <c r="F65" s="329">
        <f>SUM(C65*E65)</f>
        <v>129800</v>
      </c>
      <c r="G65" s="366" t="s">
        <v>172</v>
      </c>
      <c r="H65" s="367" t="s">
        <v>173</v>
      </c>
      <c r="I65" s="365">
        <f>SUM(F65)</f>
        <v>129800</v>
      </c>
      <c r="J65" s="277"/>
      <c r="K65" s="286"/>
    </row>
    <row r="66" spans="1:15" ht="20.100000000000001" customHeight="1">
      <c r="A66" s="278"/>
      <c r="B66" s="279"/>
      <c r="C66" s="285"/>
      <c r="D66" s="274"/>
      <c r="E66" s="281"/>
      <c r="F66" s="281"/>
      <c r="G66" s="281"/>
      <c r="H66" s="281"/>
      <c r="I66" s="282"/>
      <c r="J66" s="277"/>
      <c r="K66" s="286"/>
    </row>
    <row r="67" spans="1:15" ht="20.100000000000001" customHeight="1">
      <c r="A67" s="278"/>
      <c r="B67" s="279"/>
      <c r="C67" s="285"/>
      <c r="D67" s="274"/>
      <c r="E67" s="281"/>
      <c r="F67" s="281"/>
      <c r="G67" s="281"/>
      <c r="H67" s="281"/>
      <c r="I67" s="282"/>
      <c r="J67" s="277"/>
      <c r="K67" s="286"/>
      <c r="L67" s="196" t="s">
        <v>9</v>
      </c>
    </row>
    <row r="68" spans="1:15" ht="20.100000000000001" customHeight="1">
      <c r="A68" s="278"/>
      <c r="B68" s="279"/>
      <c r="C68" s="285"/>
      <c r="D68" s="274"/>
      <c r="E68" s="281"/>
      <c r="F68" s="281"/>
      <c r="G68" s="281"/>
      <c r="H68" s="281"/>
      <c r="I68" s="282"/>
      <c r="J68" s="277"/>
      <c r="K68" s="286"/>
      <c r="L68" s="424"/>
    </row>
    <row r="69" spans="1:15" s="283" customFormat="1" ht="20.100000000000001" customHeight="1">
      <c r="A69" s="460"/>
      <c r="B69" s="288" t="s">
        <v>18</v>
      </c>
      <c r="C69" s="285"/>
      <c r="D69" s="274"/>
      <c r="E69" s="289"/>
      <c r="F69" s="290">
        <f>SUM(F50:F67)</f>
        <v>951077</v>
      </c>
      <c r="G69" s="291"/>
      <c r="H69" s="290">
        <f>SUM(H50:H67)</f>
        <v>160688</v>
      </c>
      <c r="I69" s="276"/>
      <c r="J69" s="277"/>
      <c r="K69" s="286">
        <f>SUM(F69+H69)</f>
        <v>1111765</v>
      </c>
      <c r="L69" s="284"/>
    </row>
    <row r="70" spans="1:15" s="283" customFormat="1" ht="20.100000000000001" customHeight="1">
      <c r="A70" s="460"/>
      <c r="B70" s="278" t="s">
        <v>86</v>
      </c>
      <c r="C70" s="285"/>
      <c r="D70" s="274"/>
      <c r="E70" s="289"/>
      <c r="F70" s="281"/>
      <c r="G70" s="291"/>
      <c r="H70" s="292"/>
      <c r="I70" s="423">
        <f>SUM(I50:I68)</f>
        <v>1111765</v>
      </c>
      <c r="J70" s="277"/>
      <c r="L70" s="284"/>
    </row>
    <row r="71" spans="1:15" s="283" customFormat="1" ht="20.100000000000001" customHeight="1">
      <c r="A71" s="278"/>
      <c r="B71" s="377" t="s">
        <v>206</v>
      </c>
      <c r="C71" s="363"/>
      <c r="D71" s="335"/>
      <c r="E71" s="329"/>
      <c r="F71" s="329"/>
      <c r="G71" s="331"/>
      <c r="H71" s="331"/>
      <c r="I71" s="332"/>
      <c r="J71" s="277"/>
      <c r="L71" s="284"/>
    </row>
    <row r="72" spans="1:15" s="283" customFormat="1" ht="20.100000000000001" customHeight="1">
      <c r="A72" s="278"/>
      <c r="B72" s="277" t="s">
        <v>207</v>
      </c>
      <c r="C72" s="363">
        <v>10068</v>
      </c>
      <c r="D72" s="335" t="s">
        <v>24</v>
      </c>
      <c r="E72" s="378">
        <v>22</v>
      </c>
      <c r="F72" s="378">
        <f>SUM(C72*E72)</f>
        <v>221496</v>
      </c>
      <c r="G72" s="336" t="s">
        <v>124</v>
      </c>
      <c r="H72" s="336" t="s">
        <v>124</v>
      </c>
      <c r="I72" s="379">
        <f>SUM(F72)</f>
        <v>221496</v>
      </c>
      <c r="J72" s="277"/>
      <c r="L72" s="284"/>
    </row>
    <row r="73" spans="1:15" s="283" customFormat="1" ht="20.100000000000001" customHeight="1">
      <c r="A73" s="278"/>
      <c r="B73" s="277" t="s">
        <v>208</v>
      </c>
      <c r="C73" s="363">
        <v>1114</v>
      </c>
      <c r="D73" s="335" t="s">
        <v>24</v>
      </c>
      <c r="E73" s="378">
        <v>23</v>
      </c>
      <c r="F73" s="378">
        <f>SUM(C73*E73)</f>
        <v>25622</v>
      </c>
      <c r="G73" s="336" t="s">
        <v>124</v>
      </c>
      <c r="H73" s="336" t="s">
        <v>124</v>
      </c>
      <c r="I73" s="379">
        <f>SUM(F73)</f>
        <v>25622</v>
      </c>
      <c r="J73" s="277"/>
      <c r="L73" s="284"/>
    </row>
    <row r="74" spans="1:15" ht="20.100000000000001" customHeight="1">
      <c r="A74" s="279"/>
      <c r="B74" s="277" t="s">
        <v>209</v>
      </c>
      <c r="C74" s="363">
        <v>466</v>
      </c>
      <c r="D74" s="335" t="s">
        <v>24</v>
      </c>
      <c r="E74" s="378">
        <v>28</v>
      </c>
      <c r="F74" s="378">
        <f>SUM(C74*E74)</f>
        <v>13048</v>
      </c>
      <c r="G74" s="336" t="s">
        <v>124</v>
      </c>
      <c r="H74" s="336" t="s">
        <v>124</v>
      </c>
      <c r="I74" s="379">
        <f>SUM(F74)</f>
        <v>13048</v>
      </c>
      <c r="J74" s="277"/>
    </row>
    <row r="75" spans="1:15" ht="20.100000000000001" customHeight="1">
      <c r="A75" s="279"/>
      <c r="B75" s="277" t="s">
        <v>210</v>
      </c>
      <c r="C75" s="363">
        <v>36</v>
      </c>
      <c r="D75" s="335" t="s">
        <v>128</v>
      </c>
      <c r="E75" s="378">
        <v>120</v>
      </c>
      <c r="F75" s="378">
        <f>SUM(C75*E75)</f>
        <v>4320</v>
      </c>
      <c r="G75" s="336" t="s">
        <v>124</v>
      </c>
      <c r="H75" s="336" t="s">
        <v>124</v>
      </c>
      <c r="I75" s="379">
        <f>SUM(F75)</f>
        <v>4320</v>
      </c>
      <c r="J75" s="277"/>
    </row>
    <row r="76" spans="1:15" ht="20.100000000000001" customHeight="1">
      <c r="A76" s="279"/>
      <c r="B76" s="277" t="s">
        <v>211</v>
      </c>
      <c r="C76" s="363">
        <f>SUM(C72:C74)</f>
        <v>11648</v>
      </c>
      <c r="D76" s="335" t="s">
        <v>24</v>
      </c>
      <c r="E76" s="336" t="s">
        <v>124</v>
      </c>
      <c r="F76" s="336" t="s">
        <v>124</v>
      </c>
      <c r="G76" s="329">
        <v>10</v>
      </c>
      <c r="H76" s="329">
        <f>SUM(C76*G76)</f>
        <v>116480</v>
      </c>
      <c r="I76" s="282">
        <f>SUM(H76)</f>
        <v>116480</v>
      </c>
      <c r="J76" s="277"/>
      <c r="N76" s="267" t="s">
        <v>581</v>
      </c>
    </row>
    <row r="77" spans="1:15" ht="20.100000000000001" customHeight="1">
      <c r="A77" s="279"/>
      <c r="B77" s="333" t="s">
        <v>212</v>
      </c>
      <c r="C77" s="363">
        <v>730</v>
      </c>
      <c r="D77" s="335" t="s">
        <v>126</v>
      </c>
      <c r="E77" s="329">
        <v>150</v>
      </c>
      <c r="F77" s="329">
        <f>SUM(C77*E77)</f>
        <v>109500</v>
      </c>
      <c r="G77" s="366" t="s">
        <v>172</v>
      </c>
      <c r="H77" s="499" t="s">
        <v>173</v>
      </c>
      <c r="I77" s="337">
        <f>SUM(F77)</f>
        <v>109500</v>
      </c>
      <c r="J77" s="277"/>
    </row>
    <row r="78" spans="1:15" ht="20.100000000000001" customHeight="1">
      <c r="A78" s="279"/>
      <c r="B78" s="277"/>
      <c r="C78" s="363"/>
      <c r="D78" s="335"/>
      <c r="E78" s="378"/>
      <c r="F78" s="378"/>
      <c r="G78" s="336"/>
      <c r="H78" s="336"/>
      <c r="I78" s="379"/>
      <c r="J78" s="277"/>
    </row>
    <row r="79" spans="1:15" ht="20.100000000000001" customHeight="1">
      <c r="A79" s="278"/>
      <c r="B79" s="277"/>
      <c r="C79" s="363"/>
      <c r="D79" s="335"/>
      <c r="E79" s="378"/>
      <c r="F79" s="378"/>
      <c r="G79" s="336"/>
      <c r="H79" s="336"/>
      <c r="I79" s="379"/>
      <c r="J79" s="277"/>
    </row>
    <row r="80" spans="1:15" s="283" customFormat="1" ht="20.100000000000001" customHeight="1">
      <c r="A80" s="278"/>
      <c r="B80" s="328" t="s">
        <v>213</v>
      </c>
      <c r="C80" s="274"/>
      <c r="D80" s="274"/>
      <c r="E80" s="375"/>
      <c r="F80" s="375"/>
      <c r="G80" s="375"/>
      <c r="H80" s="375" t="s">
        <v>9</v>
      </c>
      <c r="I80" s="332"/>
      <c r="J80" s="277"/>
      <c r="L80" s="284"/>
      <c r="O80" s="283" t="s">
        <v>9</v>
      </c>
    </row>
    <row r="81" spans="1:13" s="283" customFormat="1" ht="20.100000000000001" customHeight="1">
      <c r="A81" s="278"/>
      <c r="B81" s="504" t="s">
        <v>309</v>
      </c>
      <c r="C81" s="274"/>
      <c r="D81" s="274"/>
      <c r="E81" s="375"/>
      <c r="F81" s="375"/>
      <c r="G81" s="375"/>
      <c r="H81" s="375"/>
      <c r="I81" s="337"/>
      <c r="J81" s="277"/>
      <c r="L81" s="284"/>
    </row>
    <row r="82" spans="1:13" ht="20.100000000000001" customHeight="1">
      <c r="A82" s="460"/>
      <c r="B82" s="279" t="s">
        <v>310</v>
      </c>
      <c r="C82" s="274"/>
      <c r="D82" s="274"/>
      <c r="E82" s="375"/>
      <c r="F82" s="375"/>
      <c r="G82" s="375"/>
      <c r="H82" s="375"/>
      <c r="I82" s="282"/>
      <c r="J82" s="277"/>
      <c r="K82" s="286"/>
    </row>
    <row r="83" spans="1:13" ht="20.100000000000001" customHeight="1">
      <c r="A83" s="460"/>
      <c r="B83" s="279" t="s">
        <v>311</v>
      </c>
      <c r="C83" s="274"/>
      <c r="D83" s="274"/>
      <c r="E83" s="375"/>
      <c r="F83" s="375"/>
      <c r="G83" s="375"/>
      <c r="H83" s="375"/>
      <c r="I83" s="282"/>
      <c r="J83" s="277"/>
      <c r="K83" s="286"/>
      <c r="L83" s="196" t="s">
        <v>9</v>
      </c>
      <c r="M83" s="267" t="s">
        <v>9</v>
      </c>
    </row>
    <row r="84" spans="1:13" ht="20.100000000000001" customHeight="1">
      <c r="A84" s="460"/>
      <c r="B84" s="279" t="s">
        <v>312</v>
      </c>
      <c r="C84" s="299">
        <v>1124</v>
      </c>
      <c r="D84" s="274" t="s">
        <v>126</v>
      </c>
      <c r="E84" s="330">
        <v>475</v>
      </c>
      <c r="F84" s="375">
        <f>SUM(C84*E84)</f>
        <v>533900</v>
      </c>
      <c r="G84" s="375">
        <v>70</v>
      </c>
      <c r="H84" s="375">
        <f>SUM(C84*G84)</f>
        <v>78680</v>
      </c>
      <c r="I84" s="282">
        <f>SUM(F84+H84)</f>
        <v>612580</v>
      </c>
      <c r="J84" s="277"/>
      <c r="K84" s="330"/>
    </row>
    <row r="85" spans="1:13" ht="20.100000000000001" customHeight="1">
      <c r="A85" s="296"/>
      <c r="B85" s="279" t="s">
        <v>214</v>
      </c>
      <c r="C85" s="299">
        <v>143</v>
      </c>
      <c r="D85" s="274" t="s">
        <v>130</v>
      </c>
      <c r="E85" s="330">
        <v>265</v>
      </c>
      <c r="F85" s="375">
        <f>SUM(C85*E85)</f>
        <v>37895</v>
      </c>
      <c r="G85" s="375">
        <v>50</v>
      </c>
      <c r="H85" s="375">
        <f>SUM(C85*G85)</f>
        <v>7150</v>
      </c>
      <c r="I85" s="282">
        <f>SUM(F85+H85)</f>
        <v>45045</v>
      </c>
      <c r="J85" s="277"/>
      <c r="K85" s="286"/>
      <c r="L85" s="424"/>
    </row>
    <row r="86" spans="1:13" ht="20.100000000000001" customHeight="1">
      <c r="A86" s="277"/>
      <c r="B86" s="338"/>
      <c r="C86" s="285"/>
      <c r="D86" s="274"/>
      <c r="E86" s="281"/>
      <c r="F86" s="281"/>
      <c r="G86" s="464"/>
      <c r="H86" s="425"/>
      <c r="I86" s="282"/>
      <c r="J86" s="277"/>
      <c r="K86" s="286"/>
    </row>
    <row r="87" spans="1:13" ht="20.100000000000001" customHeight="1">
      <c r="A87" s="277"/>
      <c r="B87" s="295"/>
      <c r="C87" s="285"/>
      <c r="D87" s="274"/>
      <c r="E87" s="281"/>
      <c r="F87" s="281"/>
      <c r="G87" s="280"/>
      <c r="H87" s="280"/>
      <c r="I87" s="282"/>
      <c r="J87" s="297"/>
      <c r="K87" s="286"/>
    </row>
    <row r="88" spans="1:13" ht="20.100000000000001" customHeight="1">
      <c r="A88" s="296"/>
      <c r="B88" s="279"/>
      <c r="C88" s="298"/>
      <c r="D88" s="274"/>
      <c r="E88" s="280"/>
      <c r="F88" s="280"/>
      <c r="G88" s="281"/>
      <c r="H88" s="281"/>
      <c r="I88" s="282"/>
      <c r="J88" s="277"/>
    </row>
    <row r="89" spans="1:13" ht="20.100000000000001" customHeight="1">
      <c r="A89" s="300"/>
      <c r="B89" s="279"/>
      <c r="C89" s="299"/>
      <c r="D89" s="274"/>
      <c r="E89" s="281"/>
      <c r="F89" s="281"/>
      <c r="G89" s="301"/>
      <c r="H89" s="281"/>
      <c r="I89" s="282"/>
      <c r="J89" s="277"/>
      <c r="K89" s="286"/>
    </row>
    <row r="90" spans="1:13" s="283" customFormat="1" ht="20.100000000000001" customHeight="1">
      <c r="A90" s="460"/>
      <c r="B90" s="288" t="s">
        <v>18</v>
      </c>
      <c r="C90" s="285"/>
      <c r="D90" s="274"/>
      <c r="E90" s="289"/>
      <c r="F90" s="290">
        <f>SUM(F71:F89)</f>
        <v>945781</v>
      </c>
      <c r="G90" s="291"/>
      <c r="H90" s="290">
        <f>SUM(H71:H88)</f>
        <v>202310</v>
      </c>
      <c r="I90" s="276"/>
      <c r="J90" s="277"/>
      <c r="K90" s="286">
        <f>+H90+F90</f>
        <v>1148091</v>
      </c>
      <c r="L90" s="284"/>
    </row>
    <row r="91" spans="1:13" s="283" customFormat="1" ht="20.100000000000001" customHeight="1">
      <c r="A91" s="460"/>
      <c r="B91" s="278" t="s">
        <v>86</v>
      </c>
      <c r="C91" s="285"/>
      <c r="D91" s="274"/>
      <c r="E91" s="289"/>
      <c r="F91" s="281"/>
      <c r="G91" s="291"/>
      <c r="H91" s="292"/>
      <c r="I91" s="423">
        <f>SUM(I71:I89)</f>
        <v>1148091</v>
      </c>
      <c r="J91" s="277"/>
      <c r="L91" s="284"/>
    </row>
    <row r="92" spans="1:13" s="283" customFormat="1" ht="20.100000000000001" customHeight="1">
      <c r="A92" s="278"/>
      <c r="B92" s="328" t="s">
        <v>132</v>
      </c>
      <c r="C92" s="274"/>
      <c r="D92" s="274"/>
      <c r="E92" s="380"/>
      <c r="F92" s="380"/>
      <c r="G92" s="380"/>
      <c r="H92" s="380"/>
      <c r="I92" s="282" t="s">
        <v>9</v>
      </c>
      <c r="J92" s="277"/>
      <c r="L92" s="284"/>
      <c r="M92" s="283" t="s">
        <v>9</v>
      </c>
    </row>
    <row r="93" spans="1:13" ht="20.100000000000001" customHeight="1">
      <c r="A93" s="278"/>
      <c r="B93" s="333" t="s">
        <v>215</v>
      </c>
      <c r="C93" s="363"/>
      <c r="D93" s="335"/>
      <c r="E93" s="330"/>
      <c r="F93" s="375"/>
      <c r="G93" s="375"/>
      <c r="H93" s="375"/>
      <c r="I93" s="282" t="s">
        <v>9</v>
      </c>
      <c r="J93" s="277"/>
    </row>
    <row r="94" spans="1:13" ht="20.100000000000001" customHeight="1">
      <c r="A94" s="278"/>
      <c r="B94" s="279" t="s">
        <v>216</v>
      </c>
      <c r="C94" s="274">
        <v>354</v>
      </c>
      <c r="D94" s="274" t="s">
        <v>126</v>
      </c>
      <c r="E94" s="329">
        <v>335</v>
      </c>
      <c r="F94" s="329">
        <f>SUM(C94*E94)</f>
        <v>118590</v>
      </c>
      <c r="G94" s="375">
        <v>75</v>
      </c>
      <c r="H94" s="375">
        <f>SUM(C94*G94)</f>
        <v>26550</v>
      </c>
      <c r="I94" s="282">
        <f>SUM(F94+H94)</f>
        <v>145140</v>
      </c>
      <c r="J94" s="277"/>
    </row>
    <row r="95" spans="1:13" ht="20.100000000000001" customHeight="1">
      <c r="A95" s="278"/>
      <c r="B95" s="368" t="s">
        <v>313</v>
      </c>
      <c r="C95" s="505"/>
      <c r="D95" s="274"/>
      <c r="E95" s="375"/>
      <c r="F95" s="375"/>
      <c r="G95" s="375"/>
      <c r="H95" s="375"/>
      <c r="I95" s="282" t="s">
        <v>9</v>
      </c>
      <c r="J95" s="277"/>
    </row>
    <row r="96" spans="1:13" s="283" customFormat="1" ht="20.100000000000001" customHeight="1">
      <c r="A96" s="278"/>
      <c r="B96" s="333" t="s">
        <v>314</v>
      </c>
      <c r="C96" s="274">
        <v>935</v>
      </c>
      <c r="D96" s="274" t="s">
        <v>126</v>
      </c>
      <c r="E96" s="329">
        <v>560</v>
      </c>
      <c r="F96" s="329">
        <f>SUM(C96*E96)</f>
        <v>523600</v>
      </c>
      <c r="G96" s="366" t="s">
        <v>172</v>
      </c>
      <c r="H96" s="499" t="s">
        <v>173</v>
      </c>
      <c r="I96" s="282">
        <f>SUM(F96)</f>
        <v>523600</v>
      </c>
      <c r="J96" s="277"/>
      <c r="K96" s="283">
        <v>510</v>
      </c>
      <c r="L96" s="284">
        <v>500</v>
      </c>
    </row>
    <row r="97" spans="1:13" s="283" customFormat="1" ht="20.100000000000001" customHeight="1">
      <c r="A97" s="278"/>
      <c r="B97" s="504" t="s">
        <v>217</v>
      </c>
      <c r="C97" s="274"/>
      <c r="D97" s="274"/>
      <c r="E97" s="375"/>
      <c r="F97" s="375"/>
      <c r="G97" s="375"/>
      <c r="H97" s="375"/>
      <c r="I97" s="282" t="s">
        <v>9</v>
      </c>
      <c r="J97" s="277"/>
      <c r="L97" s="284"/>
    </row>
    <row r="98" spans="1:13" s="283" customFormat="1" ht="20.100000000000001" customHeight="1">
      <c r="A98" s="278"/>
      <c r="B98" s="279" t="s">
        <v>218</v>
      </c>
      <c r="C98" s="274">
        <v>838</v>
      </c>
      <c r="D98" s="274" t="s">
        <v>126</v>
      </c>
      <c r="E98" s="329">
        <v>305</v>
      </c>
      <c r="F98" s="329">
        <f>SUM(C98*E98)</f>
        <v>255590</v>
      </c>
      <c r="G98" s="375">
        <v>75</v>
      </c>
      <c r="H98" s="375">
        <f>SUM(C98*G98)</f>
        <v>62850</v>
      </c>
      <c r="I98" s="282">
        <f>SUM(F98+H98)</f>
        <v>318440</v>
      </c>
      <c r="J98" s="277"/>
      <c r="L98" s="284"/>
    </row>
    <row r="99" spans="1:13" s="283" customFormat="1" ht="20.100000000000001" customHeight="1">
      <c r="A99" s="278"/>
      <c r="B99" s="279" t="s">
        <v>219</v>
      </c>
      <c r="C99" s="299">
        <v>4150</v>
      </c>
      <c r="D99" s="274" t="s">
        <v>126</v>
      </c>
      <c r="E99" s="330">
        <v>60</v>
      </c>
      <c r="F99" s="375">
        <f>SUM(C99*E99)</f>
        <v>249000</v>
      </c>
      <c r="G99" s="366" t="s">
        <v>172</v>
      </c>
      <c r="H99" s="499" t="s">
        <v>173</v>
      </c>
      <c r="I99" s="282">
        <f>SUM(F99)</f>
        <v>249000</v>
      </c>
      <c r="J99" s="277"/>
      <c r="L99" s="284"/>
      <c r="M99" s="283" t="s">
        <v>9</v>
      </c>
    </row>
    <row r="100" spans="1:13" ht="20.100000000000001" customHeight="1">
      <c r="A100" s="278"/>
      <c r="B100" s="328"/>
      <c r="C100" s="274"/>
      <c r="D100" s="274"/>
      <c r="E100" s="380"/>
      <c r="F100" s="380"/>
      <c r="G100" s="380"/>
      <c r="H100" s="380"/>
      <c r="I100" s="282"/>
      <c r="J100" s="277"/>
    </row>
    <row r="101" spans="1:13" ht="20.100000000000001" customHeight="1">
      <c r="A101" s="278"/>
      <c r="B101" s="287"/>
      <c r="C101" s="285"/>
      <c r="D101" s="274"/>
      <c r="E101" s="281"/>
      <c r="F101" s="281"/>
      <c r="G101" s="294"/>
      <c r="H101" s="425"/>
      <c r="I101" s="282"/>
      <c r="J101" s="277"/>
      <c r="L101" s="424"/>
    </row>
    <row r="102" spans="1:13" ht="20.100000000000001" customHeight="1">
      <c r="A102" s="278"/>
      <c r="B102" s="295"/>
      <c r="C102" s="285"/>
      <c r="D102" s="274"/>
      <c r="E102" s="281"/>
      <c r="F102" s="281"/>
      <c r="G102" s="281"/>
      <c r="H102" s="281"/>
      <c r="I102" s="282"/>
      <c r="J102" s="277"/>
    </row>
    <row r="103" spans="1:13" ht="20.100000000000001" customHeight="1">
      <c r="A103" s="278"/>
      <c r="B103" s="328"/>
      <c r="C103" s="299"/>
      <c r="D103" s="274"/>
      <c r="E103" s="289"/>
      <c r="F103" s="281"/>
      <c r="G103" s="281"/>
      <c r="H103" s="281"/>
      <c r="I103" s="282"/>
      <c r="J103" s="277"/>
      <c r="K103" s="286"/>
    </row>
    <row r="104" spans="1:13" ht="20.100000000000001" customHeight="1">
      <c r="A104" s="278"/>
      <c r="B104" s="287"/>
      <c r="C104" s="285"/>
      <c r="D104" s="274"/>
      <c r="E104" s="289"/>
      <c r="F104" s="281"/>
      <c r="G104" s="281"/>
      <c r="H104" s="281"/>
      <c r="I104" s="282"/>
      <c r="J104" s="277"/>
      <c r="K104" s="286"/>
      <c r="M104" s="267" t="s">
        <v>9</v>
      </c>
    </row>
    <row r="105" spans="1:13" ht="20.100000000000001" customHeight="1">
      <c r="A105" s="278"/>
      <c r="B105" s="287"/>
      <c r="C105" s="285"/>
      <c r="D105" s="274"/>
      <c r="E105" s="281"/>
      <c r="F105" s="281"/>
      <c r="G105" s="281"/>
      <c r="H105" s="281"/>
      <c r="I105" s="282"/>
      <c r="J105" s="277"/>
      <c r="K105" s="286"/>
    </row>
    <row r="106" spans="1:13" ht="20.100000000000001" customHeight="1">
      <c r="A106" s="278"/>
      <c r="B106" s="279"/>
      <c r="C106" s="299"/>
      <c r="D106" s="274"/>
      <c r="E106" s="289"/>
      <c r="F106" s="281"/>
      <c r="G106" s="294"/>
      <c r="H106" s="302"/>
      <c r="I106" s="282"/>
      <c r="J106" s="277"/>
      <c r="K106" s="286"/>
    </row>
    <row r="107" spans="1:13" ht="20.100000000000001" customHeight="1">
      <c r="A107" s="278"/>
      <c r="B107" s="328"/>
      <c r="C107" s="299"/>
      <c r="D107" s="274"/>
      <c r="E107" s="289"/>
      <c r="F107" s="281"/>
      <c r="G107" s="294"/>
      <c r="H107" s="302"/>
      <c r="I107" s="282"/>
      <c r="J107" s="277"/>
      <c r="K107" s="286"/>
    </row>
    <row r="108" spans="1:13" ht="20.100000000000001" customHeight="1">
      <c r="A108" s="278"/>
      <c r="B108" s="279"/>
      <c r="C108" s="285"/>
      <c r="D108" s="274"/>
      <c r="E108" s="281"/>
      <c r="F108" s="281"/>
      <c r="G108" s="281"/>
      <c r="H108" s="281"/>
      <c r="I108" s="282"/>
      <c r="J108" s="277"/>
      <c r="K108" s="286"/>
    </row>
    <row r="109" spans="1:13" ht="20.100000000000001" customHeight="1">
      <c r="A109" s="278"/>
      <c r="B109" s="279"/>
      <c r="C109" s="285"/>
      <c r="D109" s="274"/>
      <c r="E109" s="281"/>
      <c r="F109" s="281"/>
      <c r="G109" s="281"/>
      <c r="H109" s="281"/>
      <c r="I109" s="282"/>
      <c r="J109" s="277"/>
      <c r="K109" s="286"/>
    </row>
    <row r="110" spans="1:13" ht="20.100000000000001" customHeight="1">
      <c r="A110" s="278"/>
      <c r="B110" s="279"/>
      <c r="C110" s="285"/>
      <c r="D110" s="274"/>
      <c r="E110" s="281"/>
      <c r="F110" s="281"/>
      <c r="G110" s="281"/>
      <c r="H110" s="281"/>
      <c r="I110" s="282"/>
      <c r="J110" s="277"/>
      <c r="K110" s="286"/>
      <c r="L110" s="424"/>
    </row>
    <row r="111" spans="1:13" s="283" customFormat="1" ht="20.100000000000001" customHeight="1">
      <c r="A111" s="460"/>
      <c r="B111" s="288" t="s">
        <v>18</v>
      </c>
      <c r="C111" s="285"/>
      <c r="D111" s="274"/>
      <c r="E111" s="289"/>
      <c r="F111" s="290">
        <f>SUM(F92:F109)</f>
        <v>1146780</v>
      </c>
      <c r="G111" s="291"/>
      <c r="H111" s="290">
        <f>SUM(H93:H104)</f>
        <v>89400</v>
      </c>
      <c r="I111" s="276"/>
      <c r="J111" s="277"/>
      <c r="K111" s="286">
        <f>SUM(F111+H111)</f>
        <v>1236180</v>
      </c>
      <c r="L111" s="284"/>
    </row>
    <row r="112" spans="1:13" s="283" customFormat="1" ht="20.100000000000001" customHeight="1">
      <c r="A112" s="460"/>
      <c r="B112" s="278" t="s">
        <v>86</v>
      </c>
      <c r="C112" s="285"/>
      <c r="D112" s="274"/>
      <c r="E112" s="289"/>
      <c r="F112" s="281"/>
      <c r="G112" s="291"/>
      <c r="H112" s="292"/>
      <c r="I112" s="423">
        <f>SUM(I93:I110)</f>
        <v>1236180</v>
      </c>
      <c r="J112" s="277"/>
      <c r="L112" s="284"/>
    </row>
    <row r="113" spans="1:12" s="283" customFormat="1" ht="20.100000000000001" customHeight="1">
      <c r="A113" s="278"/>
      <c r="B113" s="328" t="s">
        <v>220</v>
      </c>
      <c r="C113" s="274"/>
      <c r="D113" s="274"/>
      <c r="E113" s="380"/>
      <c r="F113" s="380"/>
      <c r="G113" s="380"/>
      <c r="H113" s="380"/>
      <c r="I113" s="332"/>
      <c r="J113" s="277"/>
      <c r="L113" s="284"/>
    </row>
    <row r="114" spans="1:12" s="283" customFormat="1" ht="20.100000000000001" customHeight="1">
      <c r="A114" s="278"/>
      <c r="B114" s="333" t="s">
        <v>315</v>
      </c>
      <c r="C114" s="299">
        <v>2118</v>
      </c>
      <c r="D114" s="274" t="s">
        <v>126</v>
      </c>
      <c r="E114" s="330">
        <v>260</v>
      </c>
      <c r="F114" s="375">
        <f>SUM(C114*E114)</f>
        <v>550680</v>
      </c>
      <c r="G114" s="375">
        <v>56</v>
      </c>
      <c r="H114" s="375">
        <f>SUM(C114*G114)</f>
        <v>118608</v>
      </c>
      <c r="I114" s="337">
        <f>SUM(F114+H114)</f>
        <v>669288</v>
      </c>
      <c r="J114" s="277"/>
      <c r="L114" s="284"/>
    </row>
    <row r="115" spans="1:12" s="283" customFormat="1" ht="20.100000000000001" customHeight="1">
      <c r="A115" s="278"/>
      <c r="B115" s="333" t="s">
        <v>316</v>
      </c>
      <c r="C115" s="299">
        <v>4049</v>
      </c>
      <c r="D115" s="274" t="s">
        <v>126</v>
      </c>
      <c r="E115" s="330">
        <v>250</v>
      </c>
      <c r="F115" s="375">
        <f>SUM(C115*E115)</f>
        <v>1012250</v>
      </c>
      <c r="G115" s="375">
        <v>56</v>
      </c>
      <c r="H115" s="375">
        <f>SUM(C115*G115)</f>
        <v>226744</v>
      </c>
      <c r="I115" s="337">
        <f>SUM(F115+H115)</f>
        <v>1238994</v>
      </c>
      <c r="J115" s="277"/>
      <c r="L115" s="284"/>
    </row>
    <row r="116" spans="1:12" ht="20.100000000000001" customHeight="1">
      <c r="A116" s="279"/>
      <c r="B116" s="279" t="s">
        <v>131</v>
      </c>
      <c r="C116" s="299">
        <v>12085</v>
      </c>
      <c r="D116" s="274" t="s">
        <v>126</v>
      </c>
      <c r="E116" s="330">
        <v>90</v>
      </c>
      <c r="F116" s="375">
        <f>SUM(C116*E116)</f>
        <v>1087650</v>
      </c>
      <c r="G116" s="375">
        <v>82</v>
      </c>
      <c r="H116" s="375">
        <f>SUM(C116*G116)</f>
        <v>990970</v>
      </c>
      <c r="I116" s="337">
        <f t="shared" ref="I116:I125" si="2">SUM(F116+H116)</f>
        <v>2078620</v>
      </c>
      <c r="J116" s="277"/>
    </row>
    <row r="117" spans="1:12" ht="20.100000000000001" customHeight="1">
      <c r="A117" s="279"/>
      <c r="B117" s="504" t="s">
        <v>221</v>
      </c>
      <c r="C117" s="299">
        <v>878</v>
      </c>
      <c r="D117" s="274" t="s">
        <v>126</v>
      </c>
      <c r="E117" s="330">
        <v>90</v>
      </c>
      <c r="F117" s="375">
        <f>SUM(C117*E117)</f>
        <v>79020</v>
      </c>
      <c r="G117" s="375">
        <v>90</v>
      </c>
      <c r="H117" s="375">
        <f>SUM(C117*G117)</f>
        <v>79020</v>
      </c>
      <c r="I117" s="337">
        <f t="shared" si="2"/>
        <v>158040</v>
      </c>
      <c r="J117" s="277"/>
    </row>
    <row r="118" spans="1:12" ht="20.100000000000001" customHeight="1">
      <c r="A118" s="279"/>
      <c r="B118" s="504" t="s">
        <v>222</v>
      </c>
      <c r="C118" s="299">
        <v>212</v>
      </c>
      <c r="D118" s="274" t="s">
        <v>126</v>
      </c>
      <c r="E118" s="330">
        <v>90</v>
      </c>
      <c r="F118" s="375">
        <f>SUM(C118*E118)</f>
        <v>19080</v>
      </c>
      <c r="G118" s="375">
        <v>113</v>
      </c>
      <c r="H118" s="375">
        <f>SUM(C118*G118)</f>
        <v>23956</v>
      </c>
      <c r="I118" s="337">
        <f t="shared" si="2"/>
        <v>43036</v>
      </c>
      <c r="J118" s="277"/>
    </row>
    <row r="119" spans="1:12" ht="20.100000000000001" customHeight="1">
      <c r="A119" s="279"/>
      <c r="B119" s="504" t="s">
        <v>223</v>
      </c>
      <c r="C119" s="274"/>
      <c r="D119" s="274"/>
      <c r="E119" s="375"/>
      <c r="F119" s="375"/>
      <c r="G119" s="375"/>
      <c r="H119" s="375"/>
      <c r="I119" s="337" t="s">
        <v>9</v>
      </c>
      <c r="J119" s="277"/>
    </row>
    <row r="120" spans="1:12" ht="20.100000000000001" customHeight="1">
      <c r="A120" s="279"/>
      <c r="B120" s="504" t="s">
        <v>224</v>
      </c>
      <c r="C120" s="299">
        <v>1803</v>
      </c>
      <c r="D120" s="274" t="s">
        <v>126</v>
      </c>
      <c r="E120" s="330">
        <v>300</v>
      </c>
      <c r="F120" s="375">
        <f>SUM(C120*E120)</f>
        <v>540900</v>
      </c>
      <c r="G120" s="375">
        <v>166</v>
      </c>
      <c r="H120" s="375">
        <f>SUM(C120*G120)</f>
        <v>299298</v>
      </c>
      <c r="I120" s="337">
        <f t="shared" si="2"/>
        <v>840198</v>
      </c>
      <c r="J120" s="277"/>
    </row>
    <row r="121" spans="1:12" ht="20.100000000000001" customHeight="1">
      <c r="A121" s="278"/>
      <c r="B121" s="504" t="s">
        <v>225</v>
      </c>
      <c r="C121" s="274"/>
      <c r="D121" s="274"/>
      <c r="E121" s="375"/>
      <c r="F121" s="375"/>
      <c r="G121" s="375"/>
      <c r="H121" s="375"/>
      <c r="I121" s="337"/>
      <c r="J121" s="277"/>
    </row>
    <row r="122" spans="1:12" s="283" customFormat="1" ht="20.100000000000001" customHeight="1">
      <c r="A122" s="278"/>
      <c r="B122" s="504" t="s">
        <v>226</v>
      </c>
      <c r="C122" s="299">
        <v>16</v>
      </c>
      <c r="D122" s="274" t="s">
        <v>126</v>
      </c>
      <c r="E122" s="330">
        <v>650</v>
      </c>
      <c r="F122" s="375">
        <f>SUM(C122*E122)</f>
        <v>10400</v>
      </c>
      <c r="G122" s="375">
        <v>80</v>
      </c>
      <c r="H122" s="375">
        <f>SUM(C122*G122)</f>
        <v>1280</v>
      </c>
      <c r="I122" s="337">
        <f t="shared" si="2"/>
        <v>11680</v>
      </c>
      <c r="J122" s="277"/>
      <c r="L122" s="284"/>
    </row>
    <row r="123" spans="1:12" s="283" customFormat="1" ht="20.100000000000001" customHeight="1">
      <c r="A123" s="278"/>
      <c r="B123" s="279" t="s">
        <v>227</v>
      </c>
      <c r="C123" s="299">
        <v>6792</v>
      </c>
      <c r="D123" s="274" t="s">
        <v>130</v>
      </c>
      <c r="E123" s="330">
        <v>77</v>
      </c>
      <c r="F123" s="375">
        <f>SUM(C123*E123)</f>
        <v>522984</v>
      </c>
      <c r="G123" s="375">
        <v>44</v>
      </c>
      <c r="H123" s="375">
        <f>SUM(C123*G123)</f>
        <v>298848</v>
      </c>
      <c r="I123" s="337">
        <f t="shared" si="2"/>
        <v>821832</v>
      </c>
      <c r="J123" s="277"/>
      <c r="L123" s="284"/>
    </row>
    <row r="124" spans="1:12" ht="20.100000000000001" customHeight="1">
      <c r="A124" s="460"/>
      <c r="B124" s="504" t="s">
        <v>228</v>
      </c>
      <c r="C124" s="274"/>
      <c r="D124" s="274"/>
      <c r="E124" s="375"/>
      <c r="F124" s="375"/>
      <c r="G124" s="375"/>
      <c r="H124" s="375"/>
      <c r="I124" s="337" t="s">
        <v>9</v>
      </c>
      <c r="J124" s="277"/>
      <c r="K124" s="286"/>
    </row>
    <row r="125" spans="1:12" ht="20.100000000000001" customHeight="1">
      <c r="A125" s="460"/>
      <c r="B125" s="279" t="s">
        <v>229</v>
      </c>
      <c r="C125" s="299">
        <v>656</v>
      </c>
      <c r="D125" s="274" t="s">
        <v>130</v>
      </c>
      <c r="E125" s="330">
        <v>700</v>
      </c>
      <c r="F125" s="375">
        <f>SUM(C125*E125)</f>
        <v>459200</v>
      </c>
      <c r="G125" s="375">
        <v>350</v>
      </c>
      <c r="H125" s="375">
        <f>SUM(C125*G125)</f>
        <v>229600</v>
      </c>
      <c r="I125" s="337">
        <f t="shared" si="2"/>
        <v>688800</v>
      </c>
      <c r="J125" s="277"/>
      <c r="K125" s="286"/>
    </row>
    <row r="126" spans="1:12" ht="20.100000000000001" customHeight="1">
      <c r="A126" s="460"/>
      <c r="B126" s="279" t="s">
        <v>317</v>
      </c>
      <c r="C126" s="274"/>
      <c r="D126" s="274"/>
      <c r="E126" s="375"/>
      <c r="F126" s="375"/>
      <c r="G126" s="375"/>
      <c r="H126" s="375"/>
      <c r="I126" s="337"/>
      <c r="J126" s="277"/>
      <c r="K126" s="286"/>
      <c r="L126" s="196" t="s">
        <v>9</v>
      </c>
    </row>
    <row r="127" spans="1:12" ht="20.100000000000001" customHeight="1">
      <c r="A127" s="296"/>
      <c r="B127" s="279" t="s">
        <v>318</v>
      </c>
      <c r="C127" s="299"/>
      <c r="D127" s="274"/>
      <c r="E127" s="330"/>
      <c r="F127" s="375"/>
      <c r="G127" s="381"/>
      <c r="H127" s="375"/>
      <c r="I127" s="337"/>
      <c r="J127" s="277"/>
      <c r="K127" s="286"/>
      <c r="L127" s="424"/>
    </row>
    <row r="128" spans="1:12" ht="20.100000000000001" customHeight="1">
      <c r="A128" s="277"/>
      <c r="B128" s="279" t="s">
        <v>319</v>
      </c>
      <c r="C128" s="299">
        <v>104</v>
      </c>
      <c r="D128" s="274" t="s">
        <v>126</v>
      </c>
      <c r="E128" s="330">
        <v>4000</v>
      </c>
      <c r="F128" s="375">
        <f>SUM(C128*E128)</f>
        <v>416000</v>
      </c>
      <c r="G128" s="381" t="s">
        <v>230</v>
      </c>
      <c r="H128" s="375"/>
      <c r="I128" s="337">
        <f>SUM(F128)</f>
        <v>416000</v>
      </c>
      <c r="J128" s="277"/>
      <c r="K128" s="286"/>
    </row>
    <row r="129" spans="1:12" ht="20.100000000000001" customHeight="1">
      <c r="A129" s="277"/>
      <c r="B129" s="295"/>
      <c r="C129" s="285"/>
      <c r="D129" s="274"/>
      <c r="E129" s="281"/>
      <c r="F129" s="281"/>
      <c r="G129" s="280"/>
      <c r="H129" s="280"/>
      <c r="I129" s="282"/>
      <c r="J129" s="297"/>
      <c r="K129" s="286"/>
    </row>
    <row r="130" spans="1:12" ht="20.100000000000001" customHeight="1">
      <c r="A130" s="296"/>
      <c r="B130" s="279"/>
      <c r="C130" s="298"/>
      <c r="D130" s="274"/>
      <c r="E130" s="280"/>
      <c r="F130" s="280"/>
      <c r="G130" s="281"/>
      <c r="H130" s="281"/>
      <c r="I130" s="282"/>
      <c r="J130" s="277"/>
    </row>
    <row r="131" spans="1:12" ht="20.100000000000001" customHeight="1">
      <c r="A131" s="300"/>
      <c r="B131" s="279"/>
      <c r="C131" s="299"/>
      <c r="D131" s="274"/>
      <c r="E131" s="281"/>
      <c r="F131" s="281"/>
      <c r="G131" s="301"/>
      <c r="H131" s="281"/>
      <c r="I131" s="282"/>
      <c r="J131" s="277"/>
      <c r="K131" s="286"/>
    </row>
    <row r="132" spans="1:12" s="283" customFormat="1" ht="20.100000000000001" customHeight="1">
      <c r="A132" s="460"/>
      <c r="B132" s="288" t="s">
        <v>18</v>
      </c>
      <c r="C132" s="285"/>
      <c r="D132" s="274"/>
      <c r="E132" s="289"/>
      <c r="F132" s="290">
        <f>SUM(F113:F131)</f>
        <v>4698164</v>
      </c>
      <c r="G132" s="291"/>
      <c r="H132" s="290">
        <f>SUM(H113:H130)</f>
        <v>2268324</v>
      </c>
      <c r="I132" s="276"/>
      <c r="J132" s="277"/>
      <c r="K132" s="286">
        <f>+H132+F132</f>
        <v>6966488</v>
      </c>
      <c r="L132" s="284"/>
    </row>
    <row r="133" spans="1:12" s="283" customFormat="1" ht="20.100000000000001" customHeight="1">
      <c r="A133" s="460"/>
      <c r="B133" s="278" t="s">
        <v>86</v>
      </c>
      <c r="C133" s="285"/>
      <c r="D133" s="274"/>
      <c r="E133" s="289"/>
      <c r="F133" s="281"/>
      <c r="G133" s="291"/>
      <c r="H133" s="292"/>
      <c r="I133" s="423">
        <f>SUM(I113:I131)</f>
        <v>6966488</v>
      </c>
      <c r="J133" s="277"/>
      <c r="L133" s="284"/>
    </row>
    <row r="134" spans="1:12" s="283" customFormat="1" ht="20.100000000000001" customHeight="1">
      <c r="A134" s="278"/>
      <c r="B134" s="328" t="s">
        <v>231</v>
      </c>
      <c r="C134" s="274"/>
      <c r="D134" s="274"/>
      <c r="E134" s="380"/>
      <c r="F134" s="380"/>
      <c r="G134" s="380"/>
      <c r="H134" s="380"/>
      <c r="I134" s="332"/>
      <c r="J134" s="277"/>
      <c r="L134" s="284"/>
    </row>
    <row r="135" spans="1:12" ht="20.100000000000001" customHeight="1">
      <c r="A135" s="278"/>
      <c r="B135" s="368" t="s">
        <v>320</v>
      </c>
      <c r="C135" s="299">
        <v>2965</v>
      </c>
      <c r="D135" s="274" t="s">
        <v>126</v>
      </c>
      <c r="E135" s="330">
        <v>440</v>
      </c>
      <c r="F135" s="329">
        <f>SUM(C135*E135)</f>
        <v>1304600</v>
      </c>
      <c r="G135" s="329">
        <v>80</v>
      </c>
      <c r="H135" s="329">
        <f>SUM(C135*G135)</f>
        <v>237200</v>
      </c>
      <c r="I135" s="337">
        <f>SUM(F135+H135)</f>
        <v>1541800</v>
      </c>
      <c r="J135" s="277"/>
    </row>
    <row r="136" spans="1:12" ht="20.100000000000001" customHeight="1">
      <c r="A136" s="278"/>
      <c r="B136" s="333" t="s">
        <v>321</v>
      </c>
      <c r="C136" s="299">
        <v>3066</v>
      </c>
      <c r="D136" s="274" t="s">
        <v>130</v>
      </c>
      <c r="E136" s="330">
        <v>28</v>
      </c>
      <c r="F136" s="375">
        <f t="shared" ref="F136:F140" si="3">SUM(C136*E136)</f>
        <v>85848</v>
      </c>
      <c r="G136" s="375">
        <v>40</v>
      </c>
      <c r="H136" s="375">
        <f t="shared" ref="H136:H140" si="4">SUM(C136*G136)</f>
        <v>122640</v>
      </c>
      <c r="I136" s="337">
        <f t="shared" ref="I136:I140" si="5">SUM(F136+H136)</f>
        <v>208488</v>
      </c>
      <c r="J136" s="277"/>
    </row>
    <row r="137" spans="1:12" s="283" customFormat="1" ht="20.100000000000001" customHeight="1">
      <c r="A137" s="278"/>
      <c r="B137" s="504" t="s">
        <v>232</v>
      </c>
      <c r="C137" s="299">
        <v>641</v>
      </c>
      <c r="D137" s="274" t="s">
        <v>126</v>
      </c>
      <c r="E137" s="330">
        <v>300</v>
      </c>
      <c r="F137" s="375">
        <f t="shared" si="3"/>
        <v>192300</v>
      </c>
      <c r="G137" s="375">
        <v>158</v>
      </c>
      <c r="H137" s="375">
        <f t="shared" si="4"/>
        <v>101278</v>
      </c>
      <c r="I137" s="337">
        <f t="shared" si="5"/>
        <v>293578</v>
      </c>
      <c r="J137" s="277"/>
      <c r="L137" s="284"/>
    </row>
    <row r="138" spans="1:12" s="283" customFormat="1" ht="20.100000000000001" customHeight="1">
      <c r="A138" s="278"/>
      <c r="B138" s="368" t="s">
        <v>322</v>
      </c>
      <c r="C138" s="299">
        <v>261</v>
      </c>
      <c r="D138" s="274" t="s">
        <v>126</v>
      </c>
      <c r="E138" s="330">
        <v>450</v>
      </c>
      <c r="F138" s="375">
        <f t="shared" si="3"/>
        <v>117450</v>
      </c>
      <c r="G138" s="375">
        <v>174</v>
      </c>
      <c r="H138" s="375">
        <f t="shared" si="4"/>
        <v>45414</v>
      </c>
      <c r="I138" s="337">
        <f t="shared" si="5"/>
        <v>162864</v>
      </c>
      <c r="J138" s="277"/>
      <c r="L138" s="284"/>
    </row>
    <row r="139" spans="1:12" s="283" customFormat="1" ht="20.100000000000001" customHeight="1">
      <c r="A139" s="278"/>
      <c r="B139" s="279" t="s">
        <v>233</v>
      </c>
      <c r="C139" s="299">
        <v>1224</v>
      </c>
      <c r="D139" s="274" t="s">
        <v>126</v>
      </c>
      <c r="E139" s="330">
        <v>100</v>
      </c>
      <c r="F139" s="375">
        <f t="shared" si="3"/>
        <v>122400</v>
      </c>
      <c r="G139" s="375">
        <v>82</v>
      </c>
      <c r="H139" s="375">
        <f t="shared" si="4"/>
        <v>100368</v>
      </c>
      <c r="I139" s="337">
        <f t="shared" si="5"/>
        <v>222768</v>
      </c>
      <c r="J139" s="277"/>
      <c r="L139" s="284"/>
    </row>
    <row r="140" spans="1:12" s="283" customFormat="1" ht="20.100000000000001" customHeight="1">
      <c r="A140" s="278"/>
      <c r="B140" s="279" t="s">
        <v>234</v>
      </c>
      <c r="C140" s="299">
        <v>1788</v>
      </c>
      <c r="D140" s="274" t="s">
        <v>130</v>
      </c>
      <c r="E140" s="330">
        <v>100</v>
      </c>
      <c r="F140" s="375">
        <f t="shared" si="3"/>
        <v>178800</v>
      </c>
      <c r="G140" s="375">
        <v>87</v>
      </c>
      <c r="H140" s="375">
        <f t="shared" si="4"/>
        <v>155556</v>
      </c>
      <c r="I140" s="337">
        <f t="shared" si="5"/>
        <v>334356</v>
      </c>
      <c r="J140" s="277"/>
      <c r="L140" s="284"/>
    </row>
    <row r="141" spans="1:12" ht="20.100000000000001" customHeight="1">
      <c r="A141" s="278"/>
      <c r="B141" s="279" t="s">
        <v>323</v>
      </c>
      <c r="C141" s="299"/>
      <c r="D141" s="274"/>
      <c r="E141" s="330"/>
      <c r="F141" s="375"/>
      <c r="G141" s="381"/>
      <c r="H141" s="375"/>
      <c r="I141" s="337"/>
      <c r="J141" s="277"/>
    </row>
    <row r="142" spans="1:12" ht="20.100000000000001" customHeight="1">
      <c r="A142" s="278"/>
      <c r="B142" s="279" t="s">
        <v>324</v>
      </c>
      <c r="C142" s="299"/>
      <c r="D142" s="274"/>
      <c r="E142" s="330"/>
      <c r="F142" s="375"/>
      <c r="G142" s="381"/>
      <c r="H142" s="375"/>
      <c r="I142" s="337"/>
      <c r="J142" s="277"/>
    </row>
    <row r="143" spans="1:12" ht="20.100000000000001" customHeight="1">
      <c r="A143" s="278"/>
      <c r="B143" s="279" t="s">
        <v>325</v>
      </c>
      <c r="C143" s="299"/>
      <c r="D143" s="274"/>
      <c r="E143" s="330"/>
      <c r="F143" s="375"/>
      <c r="G143" s="381"/>
      <c r="H143" s="375"/>
      <c r="I143" s="337"/>
      <c r="J143" s="277"/>
    </row>
    <row r="144" spans="1:12" ht="20.100000000000001" customHeight="1">
      <c r="A144" s="278"/>
      <c r="B144" s="279" t="s">
        <v>326</v>
      </c>
      <c r="C144" s="299"/>
      <c r="D144" s="274"/>
      <c r="E144" s="330"/>
      <c r="F144" s="375"/>
      <c r="G144" s="381"/>
      <c r="H144" s="375"/>
      <c r="I144" s="337"/>
      <c r="J144" s="277"/>
    </row>
    <row r="145" spans="1:13" ht="20.100000000000001" customHeight="1">
      <c r="A145" s="278"/>
      <c r="B145" s="279" t="s">
        <v>327</v>
      </c>
      <c r="C145" s="299"/>
      <c r="D145" s="274"/>
      <c r="E145" s="330"/>
      <c r="F145" s="375"/>
      <c r="G145" s="381"/>
      <c r="H145" s="375"/>
      <c r="I145" s="337"/>
      <c r="J145" s="277"/>
      <c r="L145" s="196" t="s">
        <v>9</v>
      </c>
    </row>
    <row r="146" spans="1:13" ht="20.100000000000001" customHeight="1">
      <c r="A146" s="278"/>
      <c r="B146" s="279" t="s">
        <v>328</v>
      </c>
      <c r="C146" s="299">
        <v>196</v>
      </c>
      <c r="D146" s="274" t="s">
        <v>126</v>
      </c>
      <c r="E146" s="330">
        <v>550</v>
      </c>
      <c r="F146" s="375">
        <f>SUM(C146*E146)</f>
        <v>107800</v>
      </c>
      <c r="G146" s="381" t="s">
        <v>230</v>
      </c>
      <c r="H146" s="375"/>
      <c r="I146" s="337">
        <f>SUM(F146)</f>
        <v>107800</v>
      </c>
      <c r="J146" s="277"/>
      <c r="K146" s="330"/>
      <c r="L146" s="424" t="s">
        <v>9</v>
      </c>
      <c r="M146" s="267" t="s">
        <v>9</v>
      </c>
    </row>
    <row r="147" spans="1:13" ht="20.100000000000001" customHeight="1">
      <c r="A147" s="278"/>
      <c r="B147" s="279" t="s">
        <v>235</v>
      </c>
      <c r="C147" s="299">
        <v>1483</v>
      </c>
      <c r="D147" s="274" t="s">
        <v>126</v>
      </c>
      <c r="E147" s="330">
        <v>100</v>
      </c>
      <c r="F147" s="375">
        <f>SUM(C147*E147)</f>
        <v>148300</v>
      </c>
      <c r="G147" s="375">
        <v>127</v>
      </c>
      <c r="H147" s="375">
        <f>SUM(C147*G147)</f>
        <v>188341</v>
      </c>
      <c r="I147" s="337">
        <f>SUM(F147+H147)</f>
        <v>336641</v>
      </c>
      <c r="J147" s="277"/>
      <c r="M147" s="267" t="s">
        <v>9</v>
      </c>
    </row>
    <row r="148" spans="1:13" ht="20.100000000000001" customHeight="1">
      <c r="A148" s="278"/>
      <c r="B148" s="279" t="s">
        <v>236</v>
      </c>
      <c r="C148" s="274"/>
      <c r="D148" s="274"/>
      <c r="E148" s="375"/>
      <c r="F148" s="375"/>
      <c r="G148" s="375"/>
      <c r="H148" s="375"/>
      <c r="I148" s="282"/>
      <c r="J148" s="277"/>
      <c r="K148" s="286"/>
      <c r="L148" s="196" t="s">
        <v>9</v>
      </c>
    </row>
    <row r="149" spans="1:13" ht="20.100000000000001" customHeight="1">
      <c r="A149" s="278"/>
      <c r="B149" s="279" t="s">
        <v>237</v>
      </c>
      <c r="C149" s="299">
        <v>186</v>
      </c>
      <c r="D149" s="274" t="s">
        <v>130</v>
      </c>
      <c r="E149" s="336" t="s">
        <v>124</v>
      </c>
      <c r="F149" s="336" t="s">
        <v>124</v>
      </c>
      <c r="G149" s="375">
        <v>50</v>
      </c>
      <c r="H149" s="375">
        <f>SUM(C149*G149)</f>
        <v>9300</v>
      </c>
      <c r="I149" s="337">
        <f>SUM(H149)</f>
        <v>9300</v>
      </c>
      <c r="J149" s="277"/>
      <c r="K149" s="286"/>
      <c r="L149" s="196" t="s">
        <v>9</v>
      </c>
    </row>
    <row r="150" spans="1:13" ht="20.100000000000001" customHeight="1">
      <c r="A150" s="278"/>
      <c r="B150" s="287"/>
      <c r="C150" s="285"/>
      <c r="D150" s="274"/>
      <c r="E150" s="281"/>
      <c r="F150" s="281"/>
      <c r="G150" s="281"/>
      <c r="H150" s="281"/>
      <c r="I150" s="282"/>
      <c r="J150" s="277"/>
      <c r="K150" s="286"/>
      <c r="L150" s="196" t="s">
        <v>9</v>
      </c>
    </row>
    <row r="151" spans="1:13" ht="20.100000000000001" customHeight="1">
      <c r="A151" s="278"/>
      <c r="B151" s="279"/>
      <c r="C151" s="285"/>
      <c r="D151" s="274"/>
      <c r="E151" s="281"/>
      <c r="F151" s="281"/>
      <c r="G151" s="281"/>
      <c r="H151" s="281"/>
      <c r="I151" s="282"/>
      <c r="J151" s="277"/>
      <c r="K151" s="286"/>
    </row>
    <row r="152" spans="1:13" ht="20.100000000000001" customHeight="1">
      <c r="A152" s="278"/>
      <c r="B152" s="279"/>
      <c r="C152" s="285"/>
      <c r="D152" s="274"/>
      <c r="E152" s="281"/>
      <c r="F152" s="281"/>
      <c r="G152" s="281"/>
      <c r="H152" s="281"/>
      <c r="I152" s="282"/>
      <c r="J152" s="277"/>
      <c r="K152" s="286"/>
      <c r="L152" s="424"/>
    </row>
    <row r="153" spans="1:13" s="283" customFormat="1" ht="20.100000000000001" customHeight="1">
      <c r="A153" s="460"/>
      <c r="B153" s="288" t="s">
        <v>18</v>
      </c>
      <c r="C153" s="285"/>
      <c r="D153" s="274"/>
      <c r="E153" s="289"/>
      <c r="F153" s="290">
        <f>SUM(F134:F151)</f>
        <v>2257498</v>
      </c>
      <c r="G153" s="291"/>
      <c r="H153" s="290">
        <f>SUM(H134:H151)</f>
        <v>960097</v>
      </c>
      <c r="I153" s="276"/>
      <c r="J153" s="277"/>
      <c r="K153" s="286">
        <f>SUM(F153+H153)</f>
        <v>3217595</v>
      </c>
      <c r="L153" s="284"/>
    </row>
    <row r="154" spans="1:13" s="283" customFormat="1" ht="20.100000000000001" customHeight="1">
      <c r="A154" s="460"/>
      <c r="B154" s="278" t="s">
        <v>86</v>
      </c>
      <c r="C154" s="285"/>
      <c r="D154" s="274"/>
      <c r="E154" s="289"/>
      <c r="F154" s="281"/>
      <c r="G154" s="291"/>
      <c r="H154" s="292"/>
      <c r="I154" s="423">
        <f>SUM(I134:I152)</f>
        <v>3217595</v>
      </c>
      <c r="J154" s="277"/>
      <c r="L154" s="284"/>
      <c r="M154" s="283" t="s">
        <v>9</v>
      </c>
    </row>
    <row r="155" spans="1:13" s="283" customFormat="1" ht="20.100000000000001" customHeight="1">
      <c r="A155" s="278"/>
      <c r="B155" s="328" t="s">
        <v>133</v>
      </c>
      <c r="C155" s="274"/>
      <c r="D155" s="274"/>
      <c r="E155" s="375"/>
      <c r="F155" s="375"/>
      <c r="G155" s="375"/>
      <c r="H155" s="375"/>
      <c r="I155" s="332"/>
      <c r="J155" s="277"/>
      <c r="L155" s="284"/>
    </row>
    <row r="156" spans="1:13" s="283" customFormat="1" ht="20.100000000000001" customHeight="1">
      <c r="A156" s="278"/>
      <c r="B156" s="279" t="s">
        <v>238</v>
      </c>
      <c r="C156" s="299">
        <v>64</v>
      </c>
      <c r="D156" s="274" t="s">
        <v>128</v>
      </c>
      <c r="E156" s="330">
        <v>9000</v>
      </c>
      <c r="F156" s="375">
        <f t="shared" ref="F156:F162" si="6">SUM(C156*E156)</f>
        <v>576000</v>
      </c>
      <c r="G156" s="381" t="s">
        <v>230</v>
      </c>
      <c r="H156" s="375"/>
      <c r="I156" s="337">
        <f>SUM(F156)</f>
        <v>576000</v>
      </c>
      <c r="J156" s="277"/>
      <c r="L156" s="284"/>
    </row>
    <row r="157" spans="1:13" s="283" customFormat="1" ht="20.100000000000001" customHeight="1">
      <c r="A157" s="278"/>
      <c r="B157" s="279" t="s">
        <v>329</v>
      </c>
      <c r="C157" s="299">
        <v>64</v>
      </c>
      <c r="D157" s="274" t="s">
        <v>128</v>
      </c>
      <c r="E157" s="330">
        <v>10000</v>
      </c>
      <c r="F157" s="375">
        <f t="shared" si="6"/>
        <v>640000</v>
      </c>
      <c r="G157" s="381" t="s">
        <v>230</v>
      </c>
      <c r="H157" s="375"/>
      <c r="I157" s="337">
        <f t="shared" ref="I157:I166" si="7">SUM(F157)</f>
        <v>640000</v>
      </c>
      <c r="J157" s="277"/>
      <c r="L157" s="284"/>
    </row>
    <row r="158" spans="1:13" ht="20.100000000000001" customHeight="1">
      <c r="A158" s="279"/>
      <c r="B158" s="279" t="s">
        <v>239</v>
      </c>
      <c r="C158" s="299">
        <v>128</v>
      </c>
      <c r="D158" s="274" t="s">
        <v>128</v>
      </c>
      <c r="E158" s="330">
        <v>7350</v>
      </c>
      <c r="F158" s="375">
        <f t="shared" si="6"/>
        <v>940800</v>
      </c>
      <c r="G158" s="381" t="s">
        <v>230</v>
      </c>
      <c r="H158" s="375"/>
      <c r="I158" s="337">
        <f t="shared" si="7"/>
        <v>940800</v>
      </c>
      <c r="J158" s="277"/>
      <c r="L158" s="196" t="s">
        <v>9</v>
      </c>
    </row>
    <row r="159" spans="1:13" ht="20.100000000000001" customHeight="1">
      <c r="A159" s="279"/>
      <c r="B159" s="279" t="s">
        <v>240</v>
      </c>
      <c r="C159" s="299">
        <v>128</v>
      </c>
      <c r="D159" s="274" t="s">
        <v>128</v>
      </c>
      <c r="E159" s="330">
        <v>6500</v>
      </c>
      <c r="F159" s="375">
        <f t="shared" si="6"/>
        <v>832000</v>
      </c>
      <c r="G159" s="381" t="s">
        <v>230</v>
      </c>
      <c r="H159" s="375"/>
      <c r="I159" s="337">
        <f t="shared" si="7"/>
        <v>832000</v>
      </c>
      <c r="J159" s="277"/>
    </row>
    <row r="160" spans="1:13" ht="20.100000000000001" customHeight="1">
      <c r="A160" s="279"/>
      <c r="B160" s="279" t="s">
        <v>241</v>
      </c>
      <c r="C160" s="299">
        <v>64</v>
      </c>
      <c r="D160" s="274" t="s">
        <v>128</v>
      </c>
      <c r="E160" s="330">
        <v>3200</v>
      </c>
      <c r="F160" s="375">
        <f t="shared" si="6"/>
        <v>204800</v>
      </c>
      <c r="G160" s="381" t="s">
        <v>230</v>
      </c>
      <c r="H160" s="375"/>
      <c r="I160" s="337">
        <f t="shared" si="7"/>
        <v>204800</v>
      </c>
      <c r="J160" s="277"/>
      <c r="M160" s="267" t="s">
        <v>9</v>
      </c>
    </row>
    <row r="161" spans="1:13" ht="20.100000000000001" customHeight="1">
      <c r="A161" s="279"/>
      <c r="B161" s="279" t="s">
        <v>242</v>
      </c>
      <c r="C161" s="299">
        <v>12</v>
      </c>
      <c r="D161" s="274" t="s">
        <v>128</v>
      </c>
      <c r="E161" s="330">
        <v>8600</v>
      </c>
      <c r="F161" s="375">
        <f t="shared" si="6"/>
        <v>103200</v>
      </c>
      <c r="G161" s="381" t="s">
        <v>230</v>
      </c>
      <c r="H161" s="375"/>
      <c r="I161" s="337">
        <f t="shared" si="7"/>
        <v>103200</v>
      </c>
      <c r="J161" s="277"/>
      <c r="L161" s="196" t="s">
        <v>9</v>
      </c>
    </row>
    <row r="162" spans="1:13" ht="20.100000000000001" customHeight="1">
      <c r="A162" s="279"/>
      <c r="B162" s="279" t="s">
        <v>243</v>
      </c>
      <c r="C162" s="299">
        <v>2</v>
      </c>
      <c r="D162" s="274" t="s">
        <v>128</v>
      </c>
      <c r="E162" s="330">
        <v>4800</v>
      </c>
      <c r="F162" s="375">
        <f t="shared" si="6"/>
        <v>9600</v>
      </c>
      <c r="G162" s="381" t="s">
        <v>230</v>
      </c>
      <c r="H162" s="375"/>
      <c r="I162" s="337">
        <f>SUM(F162)</f>
        <v>9600</v>
      </c>
      <c r="J162" s="277"/>
    </row>
    <row r="163" spans="1:13" ht="20.100000000000001" customHeight="1">
      <c r="A163" s="278"/>
      <c r="B163" s="279" t="s">
        <v>244</v>
      </c>
      <c r="C163" s="299">
        <v>64</v>
      </c>
      <c r="D163" s="274" t="s">
        <v>128</v>
      </c>
      <c r="E163" s="330">
        <v>12000</v>
      </c>
      <c r="F163" s="375">
        <f>SUM(C163*E163)</f>
        <v>768000</v>
      </c>
      <c r="G163" s="381" t="s">
        <v>230</v>
      </c>
      <c r="H163" s="375"/>
      <c r="I163" s="337">
        <f t="shared" si="7"/>
        <v>768000</v>
      </c>
      <c r="J163" s="277"/>
    </row>
    <row r="164" spans="1:13" s="283" customFormat="1" ht="20.100000000000001" customHeight="1">
      <c r="A164" s="278"/>
      <c r="B164" s="279" t="s">
        <v>245</v>
      </c>
      <c r="C164" s="299">
        <v>64</v>
      </c>
      <c r="D164" s="274" t="s">
        <v>128</v>
      </c>
      <c r="E164" s="330">
        <v>6500</v>
      </c>
      <c r="F164" s="375">
        <f>SUM(C164*E164)</f>
        <v>416000</v>
      </c>
      <c r="G164" s="381" t="s">
        <v>230</v>
      </c>
      <c r="H164" s="375"/>
      <c r="I164" s="337">
        <f t="shared" si="7"/>
        <v>416000</v>
      </c>
      <c r="J164" s="277"/>
      <c r="L164" s="284"/>
    </row>
    <row r="165" spans="1:13" s="283" customFormat="1" ht="20.100000000000001" customHeight="1">
      <c r="A165" s="278"/>
      <c r="B165" s="279" t="s">
        <v>246</v>
      </c>
      <c r="C165" s="299">
        <v>64</v>
      </c>
      <c r="D165" s="274" t="s">
        <v>128</v>
      </c>
      <c r="E165" s="330">
        <v>10000</v>
      </c>
      <c r="F165" s="375">
        <f>SUM(C165*E165)</f>
        <v>640000</v>
      </c>
      <c r="G165" s="381" t="s">
        <v>230</v>
      </c>
      <c r="H165" s="375"/>
      <c r="I165" s="337">
        <f t="shared" si="7"/>
        <v>640000</v>
      </c>
      <c r="J165" s="277"/>
      <c r="L165" s="284"/>
    </row>
    <row r="166" spans="1:13" ht="20.100000000000001" customHeight="1">
      <c r="A166" s="460"/>
      <c r="B166" s="279" t="s">
        <v>247</v>
      </c>
      <c r="C166" s="299">
        <v>64</v>
      </c>
      <c r="D166" s="274" t="s">
        <v>128</v>
      </c>
      <c r="E166" s="330">
        <v>5500</v>
      </c>
      <c r="F166" s="375">
        <f>SUM(C166*E166)</f>
        <v>352000</v>
      </c>
      <c r="G166" s="381" t="s">
        <v>230</v>
      </c>
      <c r="H166" s="375"/>
      <c r="I166" s="337">
        <f t="shared" si="7"/>
        <v>352000</v>
      </c>
      <c r="J166" s="277"/>
      <c r="K166" s="286"/>
      <c r="L166" s="196" t="s">
        <v>9</v>
      </c>
    </row>
    <row r="167" spans="1:13" ht="20.100000000000001" customHeight="1">
      <c r="A167" s="460"/>
      <c r="B167" s="489"/>
      <c r="C167" s="285"/>
      <c r="D167" s="274"/>
      <c r="E167" s="281"/>
      <c r="F167" s="281"/>
      <c r="G167" s="281"/>
      <c r="H167" s="281"/>
      <c r="I167" s="282"/>
      <c r="J167" s="277"/>
      <c r="K167" s="286"/>
      <c r="M167" s="267" t="s">
        <v>9</v>
      </c>
    </row>
    <row r="168" spans="1:13" ht="20.100000000000001" customHeight="1">
      <c r="A168" s="460"/>
      <c r="B168" s="279"/>
      <c r="C168" s="285"/>
      <c r="D168" s="274"/>
      <c r="E168" s="281"/>
      <c r="F168" s="281"/>
      <c r="G168" s="280"/>
      <c r="H168" s="280"/>
      <c r="I168" s="282"/>
      <c r="J168" s="277"/>
      <c r="K168" s="286"/>
    </row>
    <row r="169" spans="1:13" ht="20.100000000000001" customHeight="1">
      <c r="A169" s="296"/>
      <c r="B169" s="489"/>
      <c r="C169" s="285"/>
      <c r="D169" s="274"/>
      <c r="E169" s="281"/>
      <c r="F169" s="281"/>
      <c r="G169" s="280"/>
      <c r="H169" s="280"/>
      <c r="I169" s="282"/>
      <c r="J169" s="277"/>
      <c r="K169" s="286"/>
      <c r="L169" s="424"/>
    </row>
    <row r="170" spans="1:13" ht="20.100000000000001" customHeight="1">
      <c r="A170" s="277"/>
      <c r="B170" s="338"/>
      <c r="C170" s="285"/>
      <c r="D170" s="274"/>
      <c r="E170" s="281"/>
      <c r="F170" s="281"/>
      <c r="G170" s="294"/>
      <c r="H170" s="425"/>
      <c r="I170" s="282"/>
      <c r="J170" s="277"/>
      <c r="K170" s="286"/>
    </row>
    <row r="171" spans="1:13" ht="20.100000000000001" customHeight="1">
      <c r="A171" s="277"/>
      <c r="B171" s="295"/>
      <c r="C171" s="285"/>
      <c r="D171" s="274"/>
      <c r="E171" s="281"/>
      <c r="F171" s="281"/>
      <c r="G171" s="280"/>
      <c r="H171" s="280"/>
      <c r="I171" s="282"/>
      <c r="J171" s="297"/>
      <c r="K171" s="286"/>
    </row>
    <row r="172" spans="1:13" ht="20.100000000000001" customHeight="1">
      <c r="A172" s="296"/>
      <c r="B172" s="279"/>
      <c r="C172" s="298"/>
      <c r="D172" s="274"/>
      <c r="E172" s="280"/>
      <c r="F172" s="280"/>
      <c r="G172" s="281"/>
      <c r="H172" s="281"/>
      <c r="I172" s="282"/>
      <c r="J172" s="277"/>
    </row>
    <row r="173" spans="1:13" ht="20.100000000000001" customHeight="1">
      <c r="A173" s="300"/>
      <c r="B173" s="279"/>
      <c r="C173" s="299"/>
      <c r="D173" s="274"/>
      <c r="E173" s="281"/>
      <c r="F173" s="281"/>
      <c r="G173" s="301"/>
      <c r="H173" s="281"/>
      <c r="I173" s="282"/>
      <c r="J173" s="277"/>
      <c r="K173" s="286"/>
    </row>
    <row r="174" spans="1:13" s="283" customFormat="1" ht="20.100000000000001" customHeight="1">
      <c r="A174" s="460"/>
      <c r="B174" s="288" t="s">
        <v>18</v>
      </c>
      <c r="C174" s="285"/>
      <c r="D174" s="274"/>
      <c r="E174" s="289"/>
      <c r="F174" s="290">
        <f>SUM(F155:F173)</f>
        <v>5482400</v>
      </c>
      <c r="G174" s="291"/>
      <c r="H174" s="290"/>
      <c r="I174" s="276"/>
      <c r="J174" s="277"/>
      <c r="K174" s="286">
        <f>+H174+F174</f>
        <v>5482400</v>
      </c>
      <c r="L174" s="284"/>
    </row>
    <row r="175" spans="1:13" s="283" customFormat="1" ht="20.100000000000001" customHeight="1">
      <c r="A175" s="460"/>
      <c r="B175" s="278" t="s">
        <v>86</v>
      </c>
      <c r="C175" s="285"/>
      <c r="D175" s="274"/>
      <c r="E175" s="289"/>
      <c r="F175" s="281"/>
      <c r="G175" s="291"/>
      <c r="H175" s="292"/>
      <c r="I175" s="423">
        <f>SUM(I155:I173)</f>
        <v>5482400</v>
      </c>
      <c r="J175" s="277"/>
      <c r="L175" s="284"/>
    </row>
    <row r="176" spans="1:13" s="283" customFormat="1" ht="20.100000000000001" customHeight="1">
      <c r="A176" s="278"/>
      <c r="B176" s="328" t="s">
        <v>134</v>
      </c>
      <c r="C176" s="274"/>
      <c r="D176" s="274"/>
      <c r="E176" s="375"/>
      <c r="F176" s="375"/>
      <c r="G176" s="375"/>
      <c r="H176" s="375"/>
      <c r="I176" s="337"/>
      <c r="J176" s="277"/>
      <c r="L176" s="284"/>
    </row>
    <row r="177" spans="1:13" ht="20.100000000000001" customHeight="1">
      <c r="A177" s="278"/>
      <c r="B177" s="279" t="s">
        <v>248</v>
      </c>
      <c r="C177" s="299">
        <v>64</v>
      </c>
      <c r="D177" s="274" t="s">
        <v>128</v>
      </c>
      <c r="E177" s="330">
        <v>5200</v>
      </c>
      <c r="F177" s="375">
        <f t="shared" ref="F177:F185" si="8">SUM(C177*E177)</f>
        <v>332800</v>
      </c>
      <c r="G177" s="375">
        <v>450</v>
      </c>
      <c r="H177" s="375">
        <f>SUM(C177*G177)</f>
        <v>28800</v>
      </c>
      <c r="I177" s="337">
        <f>SUM(F177+H177)</f>
        <v>361600</v>
      </c>
      <c r="J177" s="277"/>
    </row>
    <row r="178" spans="1:13" ht="20.100000000000001" customHeight="1">
      <c r="A178" s="278"/>
      <c r="B178" s="279" t="s">
        <v>330</v>
      </c>
      <c r="C178" s="299">
        <v>64</v>
      </c>
      <c r="D178" s="274" t="s">
        <v>128</v>
      </c>
      <c r="E178" s="330">
        <v>3190</v>
      </c>
      <c r="F178" s="375">
        <f t="shared" si="8"/>
        <v>204160</v>
      </c>
      <c r="G178" s="375">
        <v>450</v>
      </c>
      <c r="H178" s="375">
        <f t="shared" ref="H178:H184" si="9">SUM(C178*G178)</f>
        <v>28800</v>
      </c>
      <c r="I178" s="337">
        <f t="shared" ref="I178:I184" si="10">SUM(F178+H178)</f>
        <v>232960</v>
      </c>
      <c r="J178" s="277"/>
    </row>
    <row r="179" spans="1:13" ht="20.100000000000001" customHeight="1">
      <c r="A179" s="278"/>
      <c r="B179" s="279" t="s">
        <v>249</v>
      </c>
      <c r="C179" s="299">
        <v>128</v>
      </c>
      <c r="D179" s="274" t="s">
        <v>128</v>
      </c>
      <c r="E179" s="330">
        <v>1281</v>
      </c>
      <c r="F179" s="375">
        <f t="shared" si="8"/>
        <v>163968</v>
      </c>
      <c r="G179" s="375">
        <v>70</v>
      </c>
      <c r="H179" s="375">
        <f t="shared" si="9"/>
        <v>8960</v>
      </c>
      <c r="I179" s="337">
        <f t="shared" si="10"/>
        <v>172928</v>
      </c>
      <c r="J179" s="277"/>
      <c r="M179" s="267" t="s">
        <v>9</v>
      </c>
    </row>
    <row r="180" spans="1:13" s="283" customFormat="1" ht="20.100000000000001" customHeight="1">
      <c r="A180" s="278"/>
      <c r="B180" s="279" t="s">
        <v>250</v>
      </c>
      <c r="C180" s="299">
        <v>64</v>
      </c>
      <c r="D180" s="274" t="s">
        <v>128</v>
      </c>
      <c r="E180" s="330">
        <v>849</v>
      </c>
      <c r="F180" s="375">
        <f t="shared" si="8"/>
        <v>54336</v>
      </c>
      <c r="G180" s="375">
        <v>70</v>
      </c>
      <c r="H180" s="375">
        <f t="shared" si="9"/>
        <v>4480</v>
      </c>
      <c r="I180" s="337">
        <f t="shared" si="10"/>
        <v>58816</v>
      </c>
      <c r="J180" s="277"/>
      <c r="L180" s="284"/>
    </row>
    <row r="181" spans="1:13" s="283" customFormat="1" ht="20.100000000000001" customHeight="1">
      <c r="A181" s="278"/>
      <c r="B181" s="279" t="s">
        <v>251</v>
      </c>
      <c r="C181" s="299">
        <v>64</v>
      </c>
      <c r="D181" s="274" t="s">
        <v>128</v>
      </c>
      <c r="E181" s="330">
        <v>324</v>
      </c>
      <c r="F181" s="375">
        <f t="shared" si="8"/>
        <v>20736</v>
      </c>
      <c r="G181" s="375">
        <v>120</v>
      </c>
      <c r="H181" s="375">
        <f t="shared" si="9"/>
        <v>7680</v>
      </c>
      <c r="I181" s="337">
        <f t="shared" si="10"/>
        <v>28416</v>
      </c>
      <c r="J181" s="277"/>
      <c r="L181" s="284"/>
    </row>
    <row r="182" spans="1:13" s="283" customFormat="1" ht="20.100000000000001" customHeight="1">
      <c r="A182" s="278"/>
      <c r="B182" s="279" t="s">
        <v>252</v>
      </c>
      <c r="C182" s="299">
        <v>128</v>
      </c>
      <c r="D182" s="274" t="s">
        <v>128</v>
      </c>
      <c r="E182" s="330">
        <v>302</v>
      </c>
      <c r="F182" s="375">
        <f t="shared" si="8"/>
        <v>38656</v>
      </c>
      <c r="G182" s="375">
        <v>120</v>
      </c>
      <c r="H182" s="375">
        <f t="shared" si="9"/>
        <v>15360</v>
      </c>
      <c r="I182" s="337">
        <f t="shared" si="10"/>
        <v>54016</v>
      </c>
      <c r="J182" s="277"/>
      <c r="L182" s="284"/>
    </row>
    <row r="183" spans="1:13" s="283" customFormat="1" ht="20.100000000000001" customHeight="1">
      <c r="A183" s="278"/>
      <c r="B183" s="368" t="s">
        <v>331</v>
      </c>
      <c r="C183" s="363">
        <v>64</v>
      </c>
      <c r="D183" s="335" t="s">
        <v>128</v>
      </c>
      <c r="E183" s="329">
        <v>743</v>
      </c>
      <c r="F183" s="329">
        <f t="shared" si="8"/>
        <v>47552</v>
      </c>
      <c r="G183" s="329">
        <v>70</v>
      </c>
      <c r="H183" s="329">
        <f>SUM(C183*G183)</f>
        <v>4480</v>
      </c>
      <c r="I183" s="365">
        <f t="shared" si="10"/>
        <v>52032</v>
      </c>
      <c r="J183" s="277"/>
      <c r="L183" s="284"/>
    </row>
    <row r="184" spans="1:13" ht="20.100000000000001" customHeight="1">
      <c r="A184" s="278"/>
      <c r="B184" s="279" t="s">
        <v>135</v>
      </c>
      <c r="C184" s="299">
        <v>128</v>
      </c>
      <c r="D184" s="274" t="s">
        <v>128</v>
      </c>
      <c r="E184" s="330">
        <v>579</v>
      </c>
      <c r="F184" s="375">
        <f t="shared" si="8"/>
        <v>74112</v>
      </c>
      <c r="G184" s="375">
        <v>25</v>
      </c>
      <c r="H184" s="375">
        <f t="shared" si="9"/>
        <v>3200</v>
      </c>
      <c r="I184" s="337">
        <f t="shared" si="10"/>
        <v>77312</v>
      </c>
      <c r="J184" s="277"/>
    </row>
    <row r="185" spans="1:13" ht="20.100000000000001" customHeight="1">
      <c r="A185" s="278"/>
      <c r="B185" s="279" t="s">
        <v>332</v>
      </c>
      <c r="C185" s="299">
        <v>64</v>
      </c>
      <c r="D185" s="274" t="s">
        <v>128</v>
      </c>
      <c r="E185" s="330">
        <v>1000</v>
      </c>
      <c r="F185" s="375">
        <f t="shared" si="8"/>
        <v>64000</v>
      </c>
      <c r="G185" s="506" t="s">
        <v>198</v>
      </c>
      <c r="H185" s="507" t="s">
        <v>173</v>
      </c>
      <c r="I185" s="337">
        <f>SUM(F185)</f>
        <v>64000</v>
      </c>
      <c r="J185" s="277"/>
      <c r="L185" s="424"/>
    </row>
    <row r="186" spans="1:13" ht="20.100000000000001" customHeight="1">
      <c r="A186" s="278"/>
      <c r="B186" s="279"/>
      <c r="C186" s="299"/>
      <c r="D186" s="274"/>
      <c r="E186" s="330"/>
      <c r="F186" s="375"/>
      <c r="G186" s="375"/>
      <c r="H186" s="507"/>
      <c r="I186" s="337"/>
      <c r="J186" s="277"/>
      <c r="L186" s="424"/>
    </row>
    <row r="187" spans="1:13" ht="20.100000000000001" customHeight="1">
      <c r="A187" s="278"/>
      <c r="B187" s="279"/>
      <c r="C187" s="299"/>
      <c r="D187" s="274"/>
      <c r="E187" s="330"/>
      <c r="F187" s="375"/>
      <c r="G187" s="375"/>
      <c r="H187" s="507"/>
      <c r="I187" s="337"/>
      <c r="J187" s="277"/>
      <c r="K187" s="299"/>
      <c r="L187" s="274"/>
    </row>
    <row r="188" spans="1:13" ht="20.100000000000001" customHeight="1">
      <c r="A188" s="278"/>
      <c r="B188" s="279"/>
      <c r="C188" s="508"/>
      <c r="D188" s="274"/>
      <c r="E188" s="375"/>
      <c r="F188" s="375"/>
      <c r="G188" s="375"/>
      <c r="H188" s="375"/>
      <c r="I188" s="337"/>
      <c r="J188" s="277"/>
      <c r="K188" s="286"/>
    </row>
    <row r="189" spans="1:13" ht="20.100000000000001" customHeight="1">
      <c r="A189" s="278"/>
      <c r="B189" s="328" t="s">
        <v>253</v>
      </c>
      <c r="C189" s="274"/>
      <c r="D189" s="274"/>
      <c r="E189" s="380"/>
      <c r="F189" s="380"/>
      <c r="G189" s="380"/>
      <c r="H189" s="380"/>
      <c r="I189" s="337"/>
      <c r="J189" s="277"/>
      <c r="K189" s="286"/>
    </row>
    <row r="190" spans="1:13" ht="20.100000000000001" customHeight="1">
      <c r="A190" s="278"/>
      <c r="B190" s="333" t="s">
        <v>709</v>
      </c>
      <c r="C190" s="363"/>
      <c r="D190" s="335"/>
      <c r="E190" s="330"/>
      <c r="F190" s="375"/>
      <c r="G190" s="375"/>
      <c r="H190" s="375"/>
      <c r="I190" s="337"/>
      <c r="J190" s="277"/>
      <c r="K190" s="286"/>
    </row>
    <row r="191" spans="1:13" ht="20.100000000000001" customHeight="1">
      <c r="A191" s="278"/>
      <c r="B191" s="279" t="s">
        <v>254</v>
      </c>
      <c r="C191" s="363">
        <v>66</v>
      </c>
      <c r="D191" s="335" t="s">
        <v>130</v>
      </c>
      <c r="E191" s="330">
        <v>1500</v>
      </c>
      <c r="F191" s="375">
        <f>SUM(C191*E191)</f>
        <v>99000</v>
      </c>
      <c r="G191" s="506" t="s">
        <v>198</v>
      </c>
      <c r="H191" s="507" t="s">
        <v>173</v>
      </c>
      <c r="I191" s="337">
        <f>SUM(F191)</f>
        <v>99000</v>
      </c>
      <c r="J191" s="277"/>
      <c r="K191" s="286"/>
      <c r="L191" s="196" t="s">
        <v>9</v>
      </c>
      <c r="M191" s="267" t="s">
        <v>9</v>
      </c>
    </row>
    <row r="192" spans="1:13" ht="20.100000000000001" customHeight="1">
      <c r="A192" s="278"/>
      <c r="B192" s="368" t="s">
        <v>333</v>
      </c>
      <c r="C192" s="299">
        <v>277</v>
      </c>
      <c r="D192" s="274" t="s">
        <v>130</v>
      </c>
      <c r="E192" s="329">
        <v>250</v>
      </c>
      <c r="F192" s="329">
        <f>SUM(C192*E192)</f>
        <v>69250</v>
      </c>
      <c r="G192" s="366" t="s">
        <v>172</v>
      </c>
      <c r="H192" s="367" t="s">
        <v>173</v>
      </c>
      <c r="I192" s="337">
        <f>SUM(F192)</f>
        <v>69250</v>
      </c>
      <c r="J192" s="277"/>
      <c r="K192" s="286"/>
    </row>
    <row r="193" spans="1:14" ht="20.100000000000001" customHeight="1">
      <c r="A193" s="278"/>
      <c r="B193" s="279"/>
      <c r="C193" s="285"/>
      <c r="D193" s="274"/>
      <c r="E193" s="281"/>
      <c r="F193" s="281"/>
      <c r="G193" s="281"/>
      <c r="H193" s="281"/>
      <c r="I193" s="282"/>
      <c r="J193" s="277"/>
      <c r="K193" s="286"/>
      <c r="L193" s="196" t="s">
        <v>9</v>
      </c>
    </row>
    <row r="194" spans="1:14" ht="20.100000000000001" customHeight="1">
      <c r="A194" s="278"/>
      <c r="B194" s="279"/>
      <c r="C194" s="285"/>
      <c r="D194" s="274"/>
      <c r="E194" s="281"/>
      <c r="F194" s="281"/>
      <c r="G194" s="281"/>
      <c r="H194" s="281"/>
      <c r="I194" s="282"/>
      <c r="J194" s="277"/>
      <c r="K194" s="286"/>
      <c r="L194" s="424"/>
    </row>
    <row r="195" spans="1:14" s="283" customFormat="1" ht="20.100000000000001" customHeight="1">
      <c r="A195" s="460"/>
      <c r="B195" s="288" t="s">
        <v>18</v>
      </c>
      <c r="C195" s="285"/>
      <c r="D195" s="274"/>
      <c r="E195" s="289"/>
      <c r="F195" s="290">
        <f>SUM(F176:F193)</f>
        <v>1168570</v>
      </c>
      <c r="G195" s="291"/>
      <c r="H195" s="290">
        <f>SUM(H177:H194)</f>
        <v>101760</v>
      </c>
      <c r="I195" s="276"/>
      <c r="J195" s="277"/>
      <c r="K195" s="286">
        <f>SUM(F195+H195)</f>
        <v>1270330</v>
      </c>
      <c r="L195" s="284"/>
    </row>
    <row r="196" spans="1:14" s="283" customFormat="1" ht="20.100000000000001" customHeight="1">
      <c r="A196" s="460"/>
      <c r="B196" s="278" t="s">
        <v>86</v>
      </c>
      <c r="C196" s="285"/>
      <c r="D196" s="274"/>
      <c r="E196" s="289"/>
      <c r="F196" s="281"/>
      <c r="G196" s="291"/>
      <c r="H196" s="292"/>
      <c r="I196" s="423">
        <f>SUM(I177:I194)</f>
        <v>1270330</v>
      </c>
      <c r="J196" s="277"/>
      <c r="L196" s="284"/>
    </row>
    <row r="197" spans="1:14" s="283" customFormat="1" ht="20.100000000000001" customHeight="1">
      <c r="A197" s="278"/>
      <c r="B197" s="328" t="s">
        <v>255</v>
      </c>
      <c r="C197" s="274"/>
      <c r="D197" s="274"/>
      <c r="E197" s="375"/>
      <c r="F197" s="375"/>
      <c r="G197" s="375"/>
      <c r="H197" s="375"/>
      <c r="I197" s="337"/>
      <c r="J197" s="277"/>
      <c r="K197" s="330">
        <v>70</v>
      </c>
      <c r="L197" s="284"/>
    </row>
    <row r="198" spans="1:14" s="283" customFormat="1" ht="20.100000000000001" customHeight="1">
      <c r="A198" s="278"/>
      <c r="B198" s="279" t="s">
        <v>256</v>
      </c>
      <c r="C198" s="299">
        <v>17865</v>
      </c>
      <c r="D198" s="274" t="s">
        <v>126</v>
      </c>
      <c r="E198" s="330">
        <v>70</v>
      </c>
      <c r="F198" s="375">
        <f>SUM(C198*E198)</f>
        <v>1250550</v>
      </c>
      <c r="G198" s="375">
        <v>30</v>
      </c>
      <c r="H198" s="375">
        <f>SUM(C198*G198)</f>
        <v>535950</v>
      </c>
      <c r="I198" s="337">
        <f>SUM(F198+H198)</f>
        <v>1786500</v>
      </c>
      <c r="J198" s="277"/>
      <c r="K198" s="330">
        <v>75</v>
      </c>
      <c r="L198" s="284"/>
    </row>
    <row r="199" spans="1:14" s="283" customFormat="1" ht="20.100000000000001" customHeight="1">
      <c r="A199" s="278"/>
      <c r="B199" s="279" t="s">
        <v>257</v>
      </c>
      <c r="C199" s="299">
        <v>1805</v>
      </c>
      <c r="D199" s="274" t="s">
        <v>126</v>
      </c>
      <c r="E199" s="330">
        <v>75</v>
      </c>
      <c r="F199" s="375">
        <f>SUM(C199*E199)</f>
        <v>135375</v>
      </c>
      <c r="G199" s="375">
        <v>38</v>
      </c>
      <c r="H199" s="375">
        <f>SUM(C199*G199)</f>
        <v>68590</v>
      </c>
      <c r="I199" s="337">
        <f>SUM(F199+H199)</f>
        <v>203965</v>
      </c>
      <c r="J199" s="277"/>
      <c r="L199" s="284"/>
    </row>
    <row r="200" spans="1:14" ht="20.100000000000001" customHeight="1">
      <c r="A200" s="279"/>
      <c r="B200" s="328" t="s">
        <v>258</v>
      </c>
      <c r="C200" s="274"/>
      <c r="D200" s="274"/>
      <c r="E200" s="375"/>
      <c r="F200" s="375"/>
      <c r="G200" s="375"/>
      <c r="H200" s="375"/>
      <c r="I200" s="337"/>
      <c r="J200" s="277"/>
    </row>
    <row r="201" spans="1:14" ht="20.100000000000001" customHeight="1">
      <c r="A201" s="279"/>
      <c r="B201" s="504" t="s">
        <v>259</v>
      </c>
      <c r="C201" s="274"/>
      <c r="D201" s="274"/>
      <c r="E201" s="375"/>
      <c r="F201" s="375"/>
      <c r="G201" s="375"/>
      <c r="H201" s="375"/>
      <c r="I201" s="337"/>
      <c r="J201" s="277"/>
      <c r="M201" s="267" t="s">
        <v>9</v>
      </c>
    </row>
    <row r="202" spans="1:14" ht="20.100000000000001" customHeight="1">
      <c r="A202" s="278"/>
      <c r="B202" s="279" t="s">
        <v>260</v>
      </c>
      <c r="C202" s="299">
        <v>2</v>
      </c>
      <c r="D202" s="274" t="s">
        <v>128</v>
      </c>
      <c r="E202" s="330">
        <v>8000</v>
      </c>
      <c r="F202" s="375">
        <f>SUM(C202*E202)</f>
        <v>16000</v>
      </c>
      <c r="G202" s="381" t="s">
        <v>230</v>
      </c>
      <c r="H202" s="375"/>
      <c r="I202" s="337">
        <f>SUM(F202)</f>
        <v>16000</v>
      </c>
      <c r="J202" s="277"/>
      <c r="L202" s="196" t="s">
        <v>9</v>
      </c>
    </row>
    <row r="203" spans="1:14" s="283" customFormat="1" ht="20.100000000000001" customHeight="1">
      <c r="A203" s="278"/>
      <c r="B203" s="279" t="s">
        <v>261</v>
      </c>
      <c r="C203" s="299">
        <v>2</v>
      </c>
      <c r="D203" s="274" t="s">
        <v>128</v>
      </c>
      <c r="E203" s="330">
        <v>5000</v>
      </c>
      <c r="F203" s="375">
        <f>SUM(C203*E203)</f>
        <v>10000</v>
      </c>
      <c r="G203" s="381" t="s">
        <v>230</v>
      </c>
      <c r="H203" s="375"/>
      <c r="I203" s="337">
        <f>SUM(F203)</f>
        <v>10000</v>
      </c>
      <c r="J203" s="277"/>
      <c r="L203" s="284"/>
      <c r="N203" s="283" t="s">
        <v>9</v>
      </c>
    </row>
    <row r="204" spans="1:14" s="283" customFormat="1" ht="20.100000000000001" customHeight="1">
      <c r="A204" s="278"/>
      <c r="B204" s="368" t="s">
        <v>334</v>
      </c>
      <c r="C204" s="299">
        <v>64</v>
      </c>
      <c r="D204" s="274" t="s">
        <v>128</v>
      </c>
      <c r="E204" s="330">
        <v>5500</v>
      </c>
      <c r="F204" s="375">
        <f>SUM(C204*E204)</f>
        <v>352000</v>
      </c>
      <c r="G204" s="381" t="s">
        <v>230</v>
      </c>
      <c r="H204" s="375"/>
      <c r="I204" s="337">
        <f>SUM(F204)</f>
        <v>352000</v>
      </c>
      <c r="J204" s="277"/>
      <c r="K204" s="330"/>
      <c r="L204" s="284"/>
    </row>
    <row r="205" spans="1:14" s="283" customFormat="1" ht="20.100000000000001" customHeight="1">
      <c r="A205" s="278"/>
      <c r="B205" s="279" t="s">
        <v>335</v>
      </c>
      <c r="C205" s="363">
        <v>128</v>
      </c>
      <c r="D205" s="335" t="s">
        <v>204</v>
      </c>
      <c r="E205" s="329">
        <v>150</v>
      </c>
      <c r="F205" s="329">
        <f>SUM(C205*E205)</f>
        <v>19200</v>
      </c>
      <c r="G205" s="366" t="s">
        <v>172</v>
      </c>
      <c r="H205" s="367" t="s">
        <v>173</v>
      </c>
      <c r="I205" s="337">
        <f>SUM(F205)</f>
        <v>19200</v>
      </c>
      <c r="J205" s="277"/>
      <c r="K205" s="329"/>
      <c r="L205" s="427"/>
      <c r="M205" s="283" t="s">
        <v>9</v>
      </c>
      <c r="N205" s="283" t="s">
        <v>9</v>
      </c>
    </row>
    <row r="206" spans="1:14" s="283" customFormat="1" ht="20.100000000000001" customHeight="1">
      <c r="A206" s="278"/>
      <c r="B206" s="279" t="s">
        <v>336</v>
      </c>
      <c r="C206" s="363">
        <v>64</v>
      </c>
      <c r="D206" s="335" t="s">
        <v>128</v>
      </c>
      <c r="E206" s="329">
        <v>2500</v>
      </c>
      <c r="F206" s="329">
        <f t="shared" ref="F206" si="11">SUM(C206*E206)</f>
        <v>160000</v>
      </c>
      <c r="G206" s="366" t="s">
        <v>172</v>
      </c>
      <c r="H206" s="367" t="s">
        <v>173</v>
      </c>
      <c r="I206" s="337">
        <f t="shared" ref="I206" si="12">SUM(F206)</f>
        <v>160000</v>
      </c>
      <c r="J206" s="277"/>
      <c r="K206" s="329"/>
      <c r="L206" s="427"/>
    </row>
    <row r="207" spans="1:14" s="283" customFormat="1" ht="20.100000000000001" customHeight="1">
      <c r="A207" s="278"/>
      <c r="B207" s="368"/>
      <c r="C207" s="363"/>
      <c r="D207" s="335"/>
      <c r="E207" s="329"/>
      <c r="F207" s="329"/>
      <c r="G207" s="331"/>
      <c r="H207" s="331"/>
      <c r="I207" s="337"/>
      <c r="J207" s="277"/>
      <c r="K207" s="426"/>
      <c r="L207" s="427"/>
    </row>
    <row r="208" spans="1:14" s="283" customFormat="1" ht="20.100000000000001" customHeight="1">
      <c r="A208" s="278"/>
      <c r="B208" s="279"/>
      <c r="C208" s="363"/>
      <c r="D208" s="335"/>
      <c r="E208" s="329"/>
      <c r="F208" s="329"/>
      <c r="G208" s="428"/>
      <c r="H208" s="428"/>
      <c r="I208" s="337"/>
      <c r="J208" s="277"/>
      <c r="K208" s="426"/>
      <c r="L208" s="427"/>
    </row>
    <row r="209" spans="1:14" s="283" customFormat="1" ht="20.100000000000001" customHeight="1">
      <c r="A209" s="278"/>
      <c r="B209" s="288"/>
      <c r="C209" s="285"/>
      <c r="D209" s="274"/>
      <c r="E209" s="289"/>
      <c r="F209" s="290"/>
      <c r="G209" s="291"/>
      <c r="H209" s="290"/>
      <c r="I209" s="276"/>
      <c r="J209" s="277"/>
      <c r="K209" s="426"/>
      <c r="L209" s="427"/>
      <c r="N209" s="283" t="s">
        <v>9</v>
      </c>
    </row>
    <row r="210" spans="1:14" s="283" customFormat="1" ht="20.100000000000001" customHeight="1">
      <c r="A210" s="278"/>
      <c r="B210" s="278"/>
      <c r="C210" s="285"/>
      <c r="D210" s="274"/>
      <c r="E210" s="289"/>
      <c r="F210" s="281"/>
      <c r="G210" s="428"/>
      <c r="H210" s="428"/>
      <c r="I210" s="293"/>
      <c r="J210" s="277"/>
      <c r="K210" s="426"/>
      <c r="L210" s="427"/>
    </row>
    <row r="211" spans="1:14" s="283" customFormat="1" ht="20.100000000000001" customHeight="1">
      <c r="A211" s="278"/>
      <c r="B211" s="279"/>
      <c r="C211" s="274"/>
      <c r="D211" s="274"/>
      <c r="E211" s="375"/>
      <c r="F211" s="375"/>
      <c r="G211" s="375"/>
      <c r="H211" s="375"/>
      <c r="I211" s="337"/>
      <c r="J211" s="277"/>
      <c r="K211" s="429"/>
      <c r="L211" s="284"/>
    </row>
    <row r="212" spans="1:14" ht="20.100000000000001" customHeight="1">
      <c r="A212" s="460"/>
      <c r="B212" s="279"/>
      <c r="C212" s="299"/>
      <c r="D212" s="274"/>
      <c r="E212" s="330"/>
      <c r="F212" s="375"/>
      <c r="G212" s="381"/>
      <c r="H212" s="375"/>
      <c r="I212" s="382"/>
      <c r="J212" s="277"/>
      <c r="K212" s="426"/>
      <c r="L212" s="427"/>
    </row>
    <row r="213" spans="1:14" ht="20.100000000000001" customHeight="1">
      <c r="A213" s="460"/>
      <c r="B213" s="430"/>
      <c r="C213" s="431"/>
      <c r="D213" s="432"/>
      <c r="E213" s="336"/>
      <c r="F213" s="336"/>
      <c r="G213" s="433"/>
      <c r="H213" s="433"/>
      <c r="I213" s="434"/>
      <c r="J213" s="277"/>
      <c r="K213" s="435"/>
      <c r="L213" s="436"/>
      <c r="M213" s="267" t="s">
        <v>9</v>
      </c>
    </row>
    <row r="214" spans="1:14" ht="20.100000000000001" customHeight="1">
      <c r="A214" s="296"/>
      <c r="B214" s="279"/>
      <c r="C214" s="363"/>
      <c r="D214" s="335"/>
      <c r="E214" s="329"/>
      <c r="F214" s="329"/>
      <c r="G214" s="366"/>
      <c r="H214" s="378"/>
      <c r="I214" s="337"/>
      <c r="J214" s="277"/>
      <c r="K214" s="435"/>
      <c r="L214" s="436"/>
    </row>
    <row r="215" spans="1:14" ht="20.100000000000001" customHeight="1">
      <c r="A215" s="277"/>
      <c r="B215" s="430"/>
      <c r="C215" s="431"/>
      <c r="D215" s="432"/>
      <c r="E215" s="336"/>
      <c r="F215" s="336"/>
      <c r="G215" s="433"/>
      <c r="H215" s="433"/>
      <c r="I215" s="434"/>
      <c r="J215" s="277"/>
      <c r="K215" s="286"/>
    </row>
    <row r="216" spans="1:14" ht="20.100000000000001" customHeight="1">
      <c r="A216" s="300"/>
      <c r="B216" s="288" t="s">
        <v>18</v>
      </c>
      <c r="C216" s="285"/>
      <c r="D216" s="274"/>
      <c r="E216" s="289"/>
      <c r="F216" s="290">
        <f>SUM(F197:F212)</f>
        <v>1943125</v>
      </c>
      <c r="G216" s="291"/>
      <c r="H216" s="290">
        <f>SUM(H198:H215)</f>
        <v>604540</v>
      </c>
      <c r="I216" s="276"/>
      <c r="J216" s="277"/>
      <c r="K216" s="286">
        <f>SUM(F216+H216)</f>
        <v>2547665</v>
      </c>
    </row>
    <row r="217" spans="1:14" s="283" customFormat="1" ht="20.100000000000001" customHeight="1">
      <c r="A217" s="460"/>
      <c r="B217" s="278" t="s">
        <v>86</v>
      </c>
      <c r="C217" s="285"/>
      <c r="D217" s="274"/>
      <c r="E217" s="289"/>
      <c r="F217" s="281"/>
      <c r="G217" s="428"/>
      <c r="H217" s="428"/>
      <c r="I217" s="423">
        <f>SUM(I197:I212)</f>
        <v>2547665</v>
      </c>
      <c r="J217" s="277"/>
      <c r="L217" s="284"/>
      <c r="M217" s="283" t="s">
        <v>9</v>
      </c>
    </row>
    <row r="220" spans="1:14">
      <c r="I220" s="286">
        <f>SUM(I28+I49+I70+I91+I112+I133+I154+I175+I196+I217)</f>
        <v>37628650.510000005</v>
      </c>
    </row>
  </sheetData>
  <mergeCells count="9">
    <mergeCell ref="A1:J1"/>
    <mergeCell ref="E6:F6"/>
    <mergeCell ref="G6:H6"/>
    <mergeCell ref="A6:A7"/>
    <mergeCell ref="B6:B7"/>
    <mergeCell ref="C6:C7"/>
    <mergeCell ref="D6:D7"/>
    <mergeCell ref="J6:J7"/>
    <mergeCell ref="B3:E3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Q221"/>
  <sheetViews>
    <sheetView view="pageBreakPreview" topLeftCell="A205" zoomScale="90" zoomScaleSheetLayoutView="90" workbookViewId="0">
      <selection sqref="A1:J218"/>
    </sheetView>
  </sheetViews>
  <sheetFormatPr defaultRowHeight="21.75"/>
  <cols>
    <col min="1" max="1" width="10.42578125" style="412" customWidth="1"/>
    <col min="2" max="2" width="56.140625" style="267" customWidth="1"/>
    <col min="3" max="3" width="8.5703125" style="267" customWidth="1"/>
    <col min="4" max="4" width="7" style="267" customWidth="1"/>
    <col min="5" max="8" width="11.7109375" style="267" customWidth="1"/>
    <col min="9" max="9" width="13.140625" style="267" customWidth="1"/>
    <col min="10" max="10" width="8.85546875" style="267" customWidth="1"/>
    <col min="11" max="11" width="12" style="267" customWidth="1"/>
    <col min="12" max="12" width="13.85546875" style="196" bestFit="1" customWidth="1"/>
    <col min="13" max="14" width="13.85546875" style="267" bestFit="1" customWidth="1"/>
    <col min="15" max="16384" width="9.140625" style="267"/>
  </cols>
  <sheetData>
    <row r="1" spans="1:14" s="196" customFormat="1" ht="21" customHeight="1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4" s="263" customFormat="1" ht="21" customHeight="1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4" s="196" customFormat="1" ht="21" customHeight="1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580</v>
      </c>
      <c r="H3" s="203"/>
      <c r="I3" s="261"/>
      <c r="J3" s="203"/>
    </row>
    <row r="4" spans="1:14" s="263" customFormat="1" ht="21" customHeight="1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4" s="263" customFormat="1" ht="21" customHeight="1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4" ht="21" customHeight="1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</row>
    <row r="7" spans="1:14" ht="21" customHeight="1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</row>
    <row r="8" spans="1:14" ht="20.100000000000001" customHeight="1" thickTop="1">
      <c r="A8" s="415"/>
      <c r="B8" s="415" t="s">
        <v>596</v>
      </c>
      <c r="C8" s="416"/>
      <c r="D8" s="417"/>
      <c r="E8" s="418"/>
      <c r="F8" s="418"/>
      <c r="G8" s="418"/>
      <c r="H8" s="419"/>
      <c r="I8" s="420"/>
      <c r="J8" s="421"/>
    </row>
    <row r="9" spans="1:14" ht="20.100000000000001" customHeight="1">
      <c r="A9" s="422"/>
      <c r="B9" s="509" t="s">
        <v>262</v>
      </c>
      <c r="C9" s="474"/>
      <c r="D9" s="383"/>
      <c r="E9" s="384"/>
      <c r="F9" s="385"/>
      <c r="G9" s="384"/>
      <c r="H9" s="510"/>
      <c r="I9" s="376"/>
      <c r="J9" s="272"/>
    </row>
    <row r="10" spans="1:14" ht="20.100000000000001" customHeight="1">
      <c r="A10" s="278"/>
      <c r="B10" s="387" t="s">
        <v>337</v>
      </c>
      <c r="C10" s="474">
        <v>2</v>
      </c>
      <c r="D10" s="383" t="s">
        <v>128</v>
      </c>
      <c r="E10" s="384">
        <v>1310</v>
      </c>
      <c r="F10" s="385">
        <f>SUM(C10*E10)</f>
        <v>2620</v>
      </c>
      <c r="G10" s="511">
        <v>150</v>
      </c>
      <c r="H10" s="512">
        <f>C10*G10</f>
        <v>300</v>
      </c>
      <c r="I10" s="376">
        <f>SUM(F10+H10)</f>
        <v>2920</v>
      </c>
      <c r="J10" s="277"/>
    </row>
    <row r="11" spans="1:14" s="283" customFormat="1" ht="20.100000000000001" customHeight="1">
      <c r="A11" s="278"/>
      <c r="B11" s="509" t="s">
        <v>263</v>
      </c>
      <c r="C11" s="474"/>
      <c r="D11" s="383"/>
      <c r="E11" s="384"/>
      <c r="F11" s="385"/>
      <c r="G11" s="511"/>
      <c r="H11" s="512"/>
      <c r="I11" s="376"/>
      <c r="J11" s="277"/>
      <c r="L11" s="284"/>
    </row>
    <row r="12" spans="1:14" ht="20.100000000000001" customHeight="1">
      <c r="A12" s="274"/>
      <c r="B12" s="387" t="s">
        <v>338</v>
      </c>
      <c r="C12" s="474">
        <v>76</v>
      </c>
      <c r="D12" s="383" t="s">
        <v>128</v>
      </c>
      <c r="E12" s="384">
        <v>690</v>
      </c>
      <c r="F12" s="385">
        <f>SUM(C12*E12)</f>
        <v>52440</v>
      </c>
      <c r="G12" s="511">
        <v>115</v>
      </c>
      <c r="H12" s="512">
        <f>C12*G12</f>
        <v>8740</v>
      </c>
      <c r="I12" s="376">
        <f>SUM(F12+H12)</f>
        <v>61180</v>
      </c>
      <c r="J12" s="277"/>
    </row>
    <row r="13" spans="1:14" ht="20.100000000000001" customHeight="1">
      <c r="A13" s="279"/>
      <c r="B13" s="509" t="s">
        <v>264</v>
      </c>
      <c r="C13" s="474"/>
      <c r="D13" s="383"/>
      <c r="E13" s="384"/>
      <c r="F13" s="385"/>
      <c r="G13" s="511"/>
      <c r="H13" s="512"/>
      <c r="I13" s="376"/>
      <c r="J13" s="277"/>
    </row>
    <row r="14" spans="1:14" ht="20.100000000000001" customHeight="1">
      <c r="A14" s="279"/>
      <c r="B14" s="387" t="s">
        <v>339</v>
      </c>
      <c r="C14" s="474">
        <v>64</v>
      </c>
      <c r="D14" s="383" t="s">
        <v>128</v>
      </c>
      <c r="E14" s="384">
        <v>560</v>
      </c>
      <c r="F14" s="385">
        <f>SUM(C14*E14)</f>
        <v>35840</v>
      </c>
      <c r="G14" s="511">
        <v>115</v>
      </c>
      <c r="H14" s="512">
        <f>C14*G14</f>
        <v>7360</v>
      </c>
      <c r="I14" s="376">
        <f>SUM(F14+H14)</f>
        <v>43200</v>
      </c>
      <c r="J14" s="277"/>
      <c r="N14" s="267" t="s">
        <v>9</v>
      </c>
    </row>
    <row r="15" spans="1:14" ht="20.100000000000001" customHeight="1">
      <c r="A15" s="279"/>
      <c r="B15" s="509" t="s">
        <v>340</v>
      </c>
      <c r="C15" s="513">
        <v>256</v>
      </c>
      <c r="D15" s="514" t="s">
        <v>128</v>
      </c>
      <c r="E15" s="515">
        <v>1100</v>
      </c>
      <c r="F15" s="516">
        <f>SUM(C15*E15)</f>
        <v>281600</v>
      </c>
      <c r="G15" s="515">
        <v>115</v>
      </c>
      <c r="H15" s="515">
        <f>SUM(C15*G15)</f>
        <v>29440</v>
      </c>
      <c r="I15" s="437">
        <f>SUM(F15+H15)</f>
        <v>311040</v>
      </c>
      <c r="J15" s="277"/>
    </row>
    <row r="16" spans="1:14" ht="20.100000000000001" customHeight="1">
      <c r="A16" s="274"/>
      <c r="B16" s="509" t="s">
        <v>341</v>
      </c>
      <c r="C16" s="474"/>
      <c r="D16" s="514"/>
      <c r="E16" s="515"/>
      <c r="F16" s="516"/>
      <c r="G16" s="515"/>
      <c r="H16" s="515"/>
      <c r="I16" s="437"/>
      <c r="J16" s="277"/>
      <c r="K16" s="286"/>
    </row>
    <row r="17" spans="1:14" ht="20.100000000000001" customHeight="1">
      <c r="A17" s="274"/>
      <c r="B17" s="387" t="s">
        <v>342</v>
      </c>
      <c r="C17" s="474">
        <v>64</v>
      </c>
      <c r="D17" s="514" t="s">
        <v>128</v>
      </c>
      <c r="E17" s="515">
        <v>600</v>
      </c>
      <c r="F17" s="516">
        <f>SUM(C17*E17)</f>
        <v>38400</v>
      </c>
      <c r="G17" s="515">
        <v>115</v>
      </c>
      <c r="H17" s="515">
        <f>SUM(C17*G17)</f>
        <v>7360</v>
      </c>
      <c r="I17" s="437">
        <f>SUM(F17+H17)</f>
        <v>45760</v>
      </c>
      <c r="J17" s="277"/>
    </row>
    <row r="18" spans="1:14" ht="20.100000000000001" customHeight="1">
      <c r="A18" s="460"/>
      <c r="B18" s="509" t="s">
        <v>343</v>
      </c>
      <c r="C18" s="474"/>
      <c r="D18" s="383"/>
      <c r="E18" s="385"/>
      <c r="F18" s="517"/>
      <c r="G18" s="384"/>
      <c r="H18" s="384"/>
      <c r="I18" s="376"/>
      <c r="J18" s="277"/>
      <c r="K18" s="286"/>
    </row>
    <row r="19" spans="1:14" ht="20.100000000000001" customHeight="1">
      <c r="A19" s="460"/>
      <c r="B19" s="387" t="s">
        <v>344</v>
      </c>
      <c r="C19" s="474">
        <v>128</v>
      </c>
      <c r="D19" s="383" t="s">
        <v>128</v>
      </c>
      <c r="E19" s="385">
        <v>400</v>
      </c>
      <c r="F19" s="517">
        <f>SUM(C19*E19)</f>
        <v>51200</v>
      </c>
      <c r="G19" s="384">
        <v>115</v>
      </c>
      <c r="H19" s="384">
        <f>SUM(C19*G19)</f>
        <v>14720</v>
      </c>
      <c r="I19" s="376">
        <f>SUM(F19+H19)</f>
        <v>65920</v>
      </c>
      <c r="J19" s="277"/>
      <c r="K19" s="286"/>
    </row>
    <row r="20" spans="1:14" ht="20.100000000000001" customHeight="1">
      <c r="A20" s="497"/>
      <c r="B20" s="509" t="s">
        <v>345</v>
      </c>
      <c r="C20" s="474"/>
      <c r="D20" s="383"/>
      <c r="E20" s="384"/>
      <c r="F20" s="385"/>
      <c r="G20" s="511"/>
      <c r="H20" s="512"/>
      <c r="I20" s="376"/>
      <c r="J20" s="277"/>
      <c r="K20" s="286"/>
      <c r="M20" s="438"/>
      <c r="N20" s="438"/>
    </row>
    <row r="21" spans="1:14" ht="20.100000000000001" customHeight="1">
      <c r="A21" s="460"/>
      <c r="B21" s="387" t="s">
        <v>346</v>
      </c>
      <c r="C21" s="474">
        <v>474</v>
      </c>
      <c r="D21" s="383" t="s">
        <v>128</v>
      </c>
      <c r="E21" s="384">
        <v>60</v>
      </c>
      <c r="F21" s="385">
        <f>SUM(C21*E21)</f>
        <v>28440</v>
      </c>
      <c r="G21" s="511">
        <v>80</v>
      </c>
      <c r="H21" s="512">
        <f>C21*G21</f>
        <v>37920</v>
      </c>
      <c r="I21" s="376">
        <f>SUM(F21+H21)</f>
        <v>66360</v>
      </c>
      <c r="J21" s="277"/>
      <c r="K21" s="286"/>
    </row>
    <row r="22" spans="1:14" ht="20.100000000000001" customHeight="1">
      <c r="A22" s="497"/>
      <c r="B22" s="509" t="s">
        <v>347</v>
      </c>
      <c r="C22" s="474"/>
      <c r="D22" s="383"/>
      <c r="E22" s="384"/>
      <c r="F22" s="385"/>
      <c r="G22" s="511"/>
      <c r="H22" s="512"/>
      <c r="I22" s="376"/>
      <c r="J22" s="277"/>
      <c r="K22" s="286"/>
    </row>
    <row r="23" spans="1:14" ht="20.100000000000001" customHeight="1">
      <c r="A23" s="497"/>
      <c r="B23" s="387" t="s">
        <v>346</v>
      </c>
      <c r="C23" s="474">
        <v>40</v>
      </c>
      <c r="D23" s="383" t="s">
        <v>128</v>
      </c>
      <c r="E23" s="384">
        <v>96</v>
      </c>
      <c r="F23" s="385">
        <f>SUM(C23*E23)</f>
        <v>3840</v>
      </c>
      <c r="G23" s="511">
        <v>90</v>
      </c>
      <c r="H23" s="512">
        <f>C23*G23</f>
        <v>3600</v>
      </c>
      <c r="I23" s="376">
        <f>SUM(F23+H23)</f>
        <v>7440</v>
      </c>
      <c r="J23" s="277"/>
      <c r="K23" s="286"/>
      <c r="M23" s="267" t="s">
        <v>9</v>
      </c>
    </row>
    <row r="24" spans="1:14" ht="20.100000000000001" customHeight="1">
      <c r="A24" s="497"/>
      <c r="B24" s="509" t="s">
        <v>348</v>
      </c>
      <c r="C24" s="474"/>
      <c r="D24" s="383"/>
      <c r="E24" s="385"/>
      <c r="F24" s="517"/>
      <c r="G24" s="384"/>
      <c r="H24" s="384"/>
      <c r="I24" s="376"/>
      <c r="J24" s="277"/>
      <c r="K24" s="286"/>
    </row>
    <row r="25" spans="1:14" ht="20.100000000000001" customHeight="1">
      <c r="A25" s="460"/>
      <c r="B25" s="387" t="s">
        <v>346</v>
      </c>
      <c r="C25" s="474">
        <v>724</v>
      </c>
      <c r="D25" s="383" t="s">
        <v>128</v>
      </c>
      <c r="E25" s="385">
        <v>200</v>
      </c>
      <c r="F25" s="517">
        <f>SUM(C25*E25)</f>
        <v>144800</v>
      </c>
      <c r="G25" s="384">
        <v>90</v>
      </c>
      <c r="H25" s="384">
        <f>SUM(C25*G25)</f>
        <v>65160</v>
      </c>
      <c r="I25" s="376">
        <f>SUM(F25+H25)</f>
        <v>209960</v>
      </c>
      <c r="J25" s="277"/>
      <c r="K25" s="286"/>
      <c r="M25" s="438"/>
    </row>
    <row r="26" spans="1:14" ht="20.100000000000001" customHeight="1">
      <c r="A26" s="460"/>
      <c r="B26" s="387"/>
      <c r="C26" s="474"/>
      <c r="D26" s="383"/>
      <c r="E26" s="385"/>
      <c r="F26" s="517"/>
      <c r="G26" s="384"/>
      <c r="H26" s="384"/>
      <c r="I26" s="376"/>
      <c r="J26" s="277"/>
      <c r="K26" s="286"/>
      <c r="M26" s="286"/>
    </row>
    <row r="27" spans="1:14" ht="20.100000000000001" customHeight="1">
      <c r="A27" s="460"/>
      <c r="B27" s="279"/>
      <c r="C27" s="363"/>
      <c r="D27" s="335"/>
      <c r="E27" s="331"/>
      <c r="F27" s="331"/>
      <c r="G27" s="366"/>
      <c r="H27" s="329"/>
      <c r="I27" s="518"/>
      <c r="J27" s="277"/>
      <c r="K27" s="286"/>
      <c r="M27" s="286"/>
      <c r="N27" s="267" t="s">
        <v>9</v>
      </c>
    </row>
    <row r="28" spans="1:14" ht="20.100000000000001" customHeight="1">
      <c r="A28" s="460"/>
      <c r="B28" s="288" t="s">
        <v>18</v>
      </c>
      <c r="C28" s="285"/>
      <c r="D28" s="274"/>
      <c r="E28" s="289"/>
      <c r="F28" s="290">
        <f>SUM(F8:F26)</f>
        <v>639180</v>
      </c>
      <c r="G28" s="291"/>
      <c r="H28" s="290">
        <f>SUM(H8:H26)</f>
        <v>174600</v>
      </c>
      <c r="I28" s="276"/>
      <c r="J28" s="277"/>
      <c r="K28" s="286">
        <f>+H28+F28</f>
        <v>813780</v>
      </c>
    </row>
    <row r="29" spans="1:14" ht="20.100000000000001" customHeight="1">
      <c r="A29" s="460"/>
      <c r="B29" s="278" t="s">
        <v>86</v>
      </c>
      <c r="C29" s="285"/>
      <c r="D29" s="274"/>
      <c r="E29" s="289"/>
      <c r="F29" s="281"/>
      <c r="G29" s="291"/>
      <c r="H29" s="292"/>
      <c r="I29" s="423">
        <f>SUM(I10:I27)</f>
        <v>813780</v>
      </c>
      <c r="J29" s="277"/>
      <c r="K29" s="286"/>
    </row>
    <row r="30" spans="1:14" s="283" customFormat="1" ht="20.100000000000001" customHeight="1">
      <c r="A30" s="278"/>
      <c r="B30" s="415" t="s">
        <v>349</v>
      </c>
      <c r="C30" s="363" t="s">
        <v>9</v>
      </c>
      <c r="D30" s="335" t="s">
        <v>9</v>
      </c>
      <c r="E30" s="329" t="s">
        <v>9</v>
      </c>
      <c r="F30" s="329" t="s">
        <v>9</v>
      </c>
      <c r="G30" s="331"/>
      <c r="H30" s="331"/>
      <c r="I30" s="332"/>
      <c r="J30" s="277"/>
      <c r="L30" s="284"/>
    </row>
    <row r="31" spans="1:14" s="283" customFormat="1" ht="20.100000000000001" customHeight="1">
      <c r="A31" s="278"/>
      <c r="B31" s="509" t="s">
        <v>350</v>
      </c>
      <c r="C31" s="474"/>
      <c r="D31" s="383"/>
      <c r="E31" s="385"/>
      <c r="F31" s="517"/>
      <c r="G31" s="384"/>
      <c r="H31" s="384"/>
      <c r="I31" s="376"/>
      <c r="J31" s="277"/>
      <c r="L31" s="284"/>
    </row>
    <row r="32" spans="1:14" s="283" customFormat="1" ht="20.100000000000001" customHeight="1">
      <c r="A32" s="278"/>
      <c r="B32" s="387" t="s">
        <v>346</v>
      </c>
      <c r="C32" s="474">
        <v>64</v>
      </c>
      <c r="D32" s="383" t="s">
        <v>128</v>
      </c>
      <c r="E32" s="385">
        <v>110</v>
      </c>
      <c r="F32" s="517">
        <f>SUM(C32*E32)</f>
        <v>7040</v>
      </c>
      <c r="G32" s="384">
        <v>90</v>
      </c>
      <c r="H32" s="384">
        <f>SUM(C32*G32)</f>
        <v>5760</v>
      </c>
      <c r="I32" s="376">
        <f>SUM(F32+H32)</f>
        <v>12800</v>
      </c>
      <c r="J32" s="277"/>
      <c r="L32" s="284"/>
    </row>
    <row r="33" spans="1:14" ht="20.100000000000001" customHeight="1">
      <c r="A33" s="279"/>
      <c r="B33" s="519" t="s">
        <v>351</v>
      </c>
      <c r="C33" s="513">
        <v>64</v>
      </c>
      <c r="D33" s="514" t="s">
        <v>128</v>
      </c>
      <c r="E33" s="515">
        <v>900</v>
      </c>
      <c r="F33" s="516">
        <f>SUM(C33*E33)</f>
        <v>57600</v>
      </c>
      <c r="G33" s="515">
        <v>350</v>
      </c>
      <c r="H33" s="515">
        <f>SUM(C33*G33)</f>
        <v>22400</v>
      </c>
      <c r="I33" s="437">
        <f>SUM(F33+H33)</f>
        <v>80000</v>
      </c>
      <c r="J33" s="277"/>
    </row>
    <row r="34" spans="1:14" ht="20.100000000000001" customHeight="1">
      <c r="A34" s="279"/>
      <c r="B34" s="519" t="s">
        <v>352</v>
      </c>
      <c r="C34" s="513">
        <v>320</v>
      </c>
      <c r="D34" s="514" t="s">
        <v>128</v>
      </c>
      <c r="E34" s="515">
        <v>70</v>
      </c>
      <c r="F34" s="516">
        <f>SUM(C34*E34)</f>
        <v>22400</v>
      </c>
      <c r="G34" s="515">
        <v>60</v>
      </c>
      <c r="H34" s="515">
        <f>SUM(C34*G34)</f>
        <v>19200</v>
      </c>
      <c r="I34" s="437">
        <f>SUM(F34+H34)</f>
        <v>41600</v>
      </c>
      <c r="J34" s="277"/>
    </row>
    <row r="35" spans="1:14" ht="20.100000000000001" customHeight="1">
      <c r="A35" s="279"/>
      <c r="B35" s="520" t="s">
        <v>353</v>
      </c>
      <c r="C35" s="274">
        <v>1</v>
      </c>
      <c r="D35" s="274" t="s">
        <v>128</v>
      </c>
      <c r="E35" s="384">
        <v>192960</v>
      </c>
      <c r="F35" s="384">
        <f>SUM(C35*E35)</f>
        <v>192960</v>
      </c>
      <c r="G35" s="515">
        <v>100</v>
      </c>
      <c r="H35" s="515">
        <f>SUM(C35*G35)</f>
        <v>100</v>
      </c>
      <c r="I35" s="437">
        <f>SUM(F35+H35)</f>
        <v>193060</v>
      </c>
      <c r="J35" s="277"/>
      <c r="M35" s="438"/>
      <c r="N35" s="438"/>
    </row>
    <row r="36" spans="1:14" ht="20.100000000000001" customHeight="1">
      <c r="A36" s="279"/>
      <c r="B36" s="521" t="s">
        <v>354</v>
      </c>
      <c r="C36" s="522"/>
      <c r="D36" s="523"/>
      <c r="E36" s="516"/>
      <c r="F36" s="516"/>
      <c r="G36" s="515" t="s">
        <v>9</v>
      </c>
      <c r="H36" s="524"/>
      <c r="I36" s="525"/>
      <c r="J36" s="277"/>
    </row>
    <row r="37" spans="1:14" ht="20.100000000000001" customHeight="1">
      <c r="A37" s="279"/>
      <c r="B37" s="391" t="s">
        <v>355</v>
      </c>
      <c r="C37" s="526"/>
      <c r="D37" s="514"/>
      <c r="E37" s="516"/>
      <c r="F37" s="516"/>
      <c r="G37" s="515"/>
      <c r="H37" s="524"/>
      <c r="I37" s="437"/>
      <c r="J37" s="277"/>
    </row>
    <row r="38" spans="1:14" ht="20.100000000000001" customHeight="1">
      <c r="A38" s="278"/>
      <c r="B38" s="527" t="s">
        <v>356</v>
      </c>
      <c r="C38" s="526">
        <v>64</v>
      </c>
      <c r="D38" s="514" t="s">
        <v>156</v>
      </c>
      <c r="E38" s="515">
        <v>2835</v>
      </c>
      <c r="F38" s="516">
        <f>SUM(C38*E38)</f>
        <v>181440</v>
      </c>
      <c r="G38" s="515">
        <v>800</v>
      </c>
      <c r="H38" s="515">
        <f>SUM(C38*G38)</f>
        <v>51200</v>
      </c>
      <c r="I38" s="437">
        <f>SUM(F38+H38)</f>
        <v>232640</v>
      </c>
      <c r="J38" s="277"/>
    </row>
    <row r="39" spans="1:14" s="283" customFormat="1" ht="20.100000000000001" customHeight="1">
      <c r="A39" s="278"/>
      <c r="B39" s="391" t="s">
        <v>357</v>
      </c>
      <c r="C39" s="526">
        <v>320</v>
      </c>
      <c r="D39" s="514" t="s">
        <v>128</v>
      </c>
      <c r="E39" s="515">
        <v>158</v>
      </c>
      <c r="F39" s="516">
        <f>SUM(C39*E39)</f>
        <v>50560</v>
      </c>
      <c r="G39" s="524" t="s">
        <v>124</v>
      </c>
      <c r="H39" s="524" t="s">
        <v>124</v>
      </c>
      <c r="I39" s="437">
        <f>SUM(F39)</f>
        <v>50560</v>
      </c>
      <c r="J39" s="277"/>
      <c r="L39" s="284" t="s">
        <v>9</v>
      </c>
    </row>
    <row r="40" spans="1:14" s="283" customFormat="1" ht="20.100000000000001" customHeight="1">
      <c r="A40" s="278"/>
      <c r="B40" s="391" t="s">
        <v>358</v>
      </c>
      <c r="C40" s="526">
        <v>64</v>
      </c>
      <c r="D40" s="514" t="s">
        <v>128</v>
      </c>
      <c r="E40" s="515">
        <v>1533</v>
      </c>
      <c r="F40" s="516">
        <f>SUM(C40*E40)</f>
        <v>98112</v>
      </c>
      <c r="G40" s="524" t="s">
        <v>124</v>
      </c>
      <c r="H40" s="524" t="s">
        <v>124</v>
      </c>
      <c r="I40" s="437">
        <f>SUM(F40)</f>
        <v>98112</v>
      </c>
      <c r="J40" s="277"/>
      <c r="L40" s="284"/>
      <c r="M40" s="528" t="s">
        <v>9</v>
      </c>
      <c r="N40" s="528"/>
    </row>
    <row r="41" spans="1:14" ht="20.100000000000001" customHeight="1">
      <c r="A41" s="460"/>
      <c r="B41" s="521" t="s">
        <v>360</v>
      </c>
      <c r="C41" s="526"/>
      <c r="D41" s="514"/>
      <c r="E41" s="515"/>
      <c r="F41" s="516"/>
      <c r="G41" s="515"/>
      <c r="H41" s="529"/>
      <c r="I41" s="437"/>
      <c r="J41" s="277"/>
      <c r="K41" s="286"/>
    </row>
    <row r="42" spans="1:14" ht="20.100000000000001" customHeight="1">
      <c r="A42" s="460"/>
      <c r="B42" s="391" t="s">
        <v>361</v>
      </c>
      <c r="C42" s="526"/>
      <c r="D42" s="514"/>
      <c r="E42" s="515"/>
      <c r="F42" s="516"/>
      <c r="G42" s="530"/>
      <c r="H42" s="531"/>
      <c r="I42" s="437"/>
      <c r="J42" s="277"/>
      <c r="K42" s="286"/>
    </row>
    <row r="43" spans="1:14" ht="20.100000000000001" customHeight="1">
      <c r="A43" s="460"/>
      <c r="B43" s="391" t="s">
        <v>362</v>
      </c>
      <c r="C43" s="526">
        <v>1</v>
      </c>
      <c r="D43" s="514" t="s">
        <v>156</v>
      </c>
      <c r="E43" s="515">
        <v>200000</v>
      </c>
      <c r="F43" s="516">
        <f>SUM(C43*E43)</f>
        <v>200000</v>
      </c>
      <c r="G43" s="515">
        <v>30000</v>
      </c>
      <c r="H43" s="515">
        <f>SUM(C43*G43)</f>
        <v>30000</v>
      </c>
      <c r="I43" s="437">
        <f>SUM(F43+H43)</f>
        <v>230000</v>
      </c>
      <c r="J43" s="277"/>
      <c r="K43" s="286"/>
    </row>
    <row r="44" spans="1:14" ht="20.100000000000001" customHeight="1">
      <c r="A44" s="296"/>
      <c r="B44" s="391" t="s">
        <v>363</v>
      </c>
      <c r="C44" s="526">
        <v>1</v>
      </c>
      <c r="D44" s="514" t="s">
        <v>128</v>
      </c>
      <c r="E44" s="515">
        <v>63427</v>
      </c>
      <c r="F44" s="516">
        <f>SUM(C44*E44)</f>
        <v>63427</v>
      </c>
      <c r="G44" s="524" t="s">
        <v>124</v>
      </c>
      <c r="H44" s="524" t="s">
        <v>124</v>
      </c>
      <c r="I44" s="437">
        <f>SUM(F44)</f>
        <v>63427</v>
      </c>
      <c r="J44" s="277"/>
      <c r="K44" s="286"/>
      <c r="L44" s="424"/>
    </row>
    <row r="45" spans="1:14" ht="20.100000000000001" customHeight="1">
      <c r="A45" s="277"/>
      <c r="B45" s="391" t="s">
        <v>364</v>
      </c>
      <c r="C45" s="526">
        <v>1</v>
      </c>
      <c r="D45" s="514" t="s">
        <v>128</v>
      </c>
      <c r="E45" s="516">
        <v>11424</v>
      </c>
      <c r="F45" s="516">
        <f t="shared" ref="F45:F47" si="0">SUM(C45*E45)</f>
        <v>11424</v>
      </c>
      <c r="G45" s="524" t="s">
        <v>124</v>
      </c>
      <c r="H45" s="524" t="s">
        <v>124</v>
      </c>
      <c r="I45" s="437">
        <f t="shared" ref="I45:I47" si="1">SUM(F45)</f>
        <v>11424</v>
      </c>
      <c r="J45" s="277"/>
      <c r="K45" s="286"/>
    </row>
    <row r="46" spans="1:14" ht="20.100000000000001" customHeight="1">
      <c r="A46" s="277"/>
      <c r="B46" s="391" t="s">
        <v>365</v>
      </c>
      <c r="C46" s="526">
        <v>4</v>
      </c>
      <c r="D46" s="514" t="s">
        <v>128</v>
      </c>
      <c r="E46" s="516">
        <v>7854</v>
      </c>
      <c r="F46" s="516">
        <f t="shared" si="0"/>
        <v>31416</v>
      </c>
      <c r="G46" s="524" t="s">
        <v>124</v>
      </c>
      <c r="H46" s="524" t="s">
        <v>124</v>
      </c>
      <c r="I46" s="437">
        <f t="shared" si="1"/>
        <v>31416</v>
      </c>
      <c r="J46" s="297"/>
      <c r="K46" s="286"/>
    </row>
    <row r="47" spans="1:14" ht="20.100000000000001" customHeight="1">
      <c r="A47" s="296"/>
      <c r="B47" s="391" t="s">
        <v>366</v>
      </c>
      <c r="C47" s="526">
        <v>1</v>
      </c>
      <c r="D47" s="514" t="s">
        <v>128</v>
      </c>
      <c r="E47" s="516">
        <v>5285</v>
      </c>
      <c r="F47" s="516">
        <f t="shared" si="0"/>
        <v>5285</v>
      </c>
      <c r="G47" s="524" t="s">
        <v>124</v>
      </c>
      <c r="H47" s="524" t="s">
        <v>124</v>
      </c>
      <c r="I47" s="437">
        <f t="shared" si="1"/>
        <v>5285</v>
      </c>
      <c r="J47" s="277"/>
      <c r="M47" s="438"/>
    </row>
    <row r="48" spans="1:14" ht="20.100000000000001" customHeight="1">
      <c r="A48" s="300"/>
      <c r="B48" s="279" t="s">
        <v>9</v>
      </c>
      <c r="C48" s="299"/>
      <c r="D48" s="274"/>
      <c r="E48" s="281"/>
      <c r="F48" s="281"/>
      <c r="G48" s="301"/>
      <c r="H48" s="281"/>
      <c r="I48" s="282"/>
      <c r="J48" s="277"/>
      <c r="K48" s="286"/>
    </row>
    <row r="49" spans="1:16" s="283" customFormat="1" ht="20.100000000000001" customHeight="1">
      <c r="A49" s="460"/>
      <c r="B49" s="288" t="s">
        <v>18</v>
      </c>
      <c r="C49" s="285"/>
      <c r="D49" s="274"/>
      <c r="E49" s="289"/>
      <c r="F49" s="290">
        <f>SUM(F30:F48)</f>
        <v>921664</v>
      </c>
      <c r="G49" s="291"/>
      <c r="H49" s="290">
        <f>SUM(H30:H47)</f>
        <v>128660</v>
      </c>
      <c r="I49" s="276"/>
      <c r="J49" s="277"/>
      <c r="K49" s="286">
        <f>+H49+F49</f>
        <v>1050324</v>
      </c>
      <c r="L49" s="284"/>
    </row>
    <row r="50" spans="1:16" s="283" customFormat="1" ht="22.5" customHeight="1">
      <c r="A50" s="460"/>
      <c r="B50" s="278" t="s">
        <v>86</v>
      </c>
      <c r="C50" s="285"/>
      <c r="D50" s="274"/>
      <c r="E50" s="289"/>
      <c r="F50" s="281"/>
      <c r="G50" s="291"/>
      <c r="H50" s="292"/>
      <c r="I50" s="423">
        <f>SUM(I30:I48)</f>
        <v>1050324</v>
      </c>
      <c r="J50" s="277"/>
      <c r="L50" s="284"/>
    </row>
    <row r="51" spans="1:16" s="283" customFormat="1" ht="20.100000000000001" customHeight="1">
      <c r="A51" s="278"/>
      <c r="B51" s="415" t="s">
        <v>349</v>
      </c>
      <c r="C51" s="369"/>
      <c r="D51" s="370"/>
      <c r="E51" s="371"/>
      <c r="F51" s="371"/>
      <c r="G51" s="371"/>
      <c r="H51" s="372"/>
      <c r="I51" s="373"/>
      <c r="J51" s="277"/>
      <c r="L51" s="284"/>
    </row>
    <row r="52" spans="1:16" ht="20.100000000000001" customHeight="1">
      <c r="A52" s="278"/>
      <c r="B52" s="521" t="s">
        <v>367</v>
      </c>
      <c r="C52" s="363"/>
      <c r="D52" s="335"/>
      <c r="E52" s="329"/>
      <c r="F52" s="329"/>
      <c r="G52" s="329"/>
      <c r="H52" s="329"/>
      <c r="I52" s="337"/>
      <c r="J52" s="277"/>
    </row>
    <row r="53" spans="1:16" ht="20.100000000000001" customHeight="1">
      <c r="A53" s="278"/>
      <c r="B53" s="391" t="s">
        <v>368</v>
      </c>
      <c r="C53" s="526">
        <v>1</v>
      </c>
      <c r="D53" s="514" t="s">
        <v>128</v>
      </c>
      <c r="E53" s="516">
        <v>4270</v>
      </c>
      <c r="F53" s="516">
        <f t="shared" ref="F53:F55" si="2">SUM(C53*E53)</f>
        <v>4270</v>
      </c>
      <c r="G53" s="524" t="s">
        <v>124</v>
      </c>
      <c r="H53" s="524" t="s">
        <v>124</v>
      </c>
      <c r="I53" s="437">
        <f t="shared" ref="I53:I64" si="3">SUM(F53)</f>
        <v>4270</v>
      </c>
      <c r="J53" s="277"/>
    </row>
    <row r="54" spans="1:16" ht="20.100000000000001" customHeight="1">
      <c r="A54" s="278"/>
      <c r="B54" s="391" t="s">
        <v>369</v>
      </c>
      <c r="C54" s="526">
        <v>1</v>
      </c>
      <c r="D54" s="514" t="s">
        <v>128</v>
      </c>
      <c r="E54" s="516">
        <v>3500</v>
      </c>
      <c r="F54" s="516">
        <f t="shared" si="2"/>
        <v>3500</v>
      </c>
      <c r="G54" s="524" t="s">
        <v>124</v>
      </c>
      <c r="H54" s="524" t="s">
        <v>124</v>
      </c>
      <c r="I54" s="437">
        <f t="shared" si="3"/>
        <v>3500</v>
      </c>
      <c r="J54" s="277"/>
    </row>
    <row r="55" spans="1:16" s="283" customFormat="1" ht="20.100000000000001" customHeight="1">
      <c r="A55" s="278"/>
      <c r="B55" s="391" t="s">
        <v>370</v>
      </c>
      <c r="C55" s="526">
        <v>1</v>
      </c>
      <c r="D55" s="514" t="s">
        <v>128</v>
      </c>
      <c r="E55" s="516">
        <v>3500</v>
      </c>
      <c r="F55" s="516">
        <f t="shared" si="2"/>
        <v>3500</v>
      </c>
      <c r="G55" s="524" t="s">
        <v>124</v>
      </c>
      <c r="H55" s="524" t="s">
        <v>124</v>
      </c>
      <c r="I55" s="437">
        <f t="shared" si="3"/>
        <v>3500</v>
      </c>
      <c r="J55" s="277"/>
      <c r="L55" s="284"/>
    </row>
    <row r="56" spans="1:16" s="283" customFormat="1" ht="20.100000000000001" customHeight="1">
      <c r="A56" s="278"/>
      <c r="B56" s="391" t="s">
        <v>371</v>
      </c>
      <c r="C56" s="513">
        <v>27</v>
      </c>
      <c r="D56" s="514" t="s">
        <v>128</v>
      </c>
      <c r="E56" s="516">
        <v>280</v>
      </c>
      <c r="F56" s="516">
        <f>SUM(C56*E56)</f>
        <v>7560</v>
      </c>
      <c r="G56" s="524" t="s">
        <v>124</v>
      </c>
      <c r="H56" s="524" t="s">
        <v>124</v>
      </c>
      <c r="I56" s="437">
        <f t="shared" si="3"/>
        <v>7560</v>
      </c>
      <c r="J56" s="277"/>
      <c r="K56" s="286"/>
      <c r="L56" s="196"/>
      <c r="M56" s="267" t="s">
        <v>9</v>
      </c>
      <c r="N56" s="267"/>
      <c r="O56" s="267"/>
      <c r="P56" s="267"/>
    </row>
    <row r="57" spans="1:16" s="283" customFormat="1" ht="20.100000000000001" customHeight="1">
      <c r="A57" s="278"/>
      <c r="B57" s="391" t="s">
        <v>372</v>
      </c>
      <c r="C57" s="526">
        <v>9</v>
      </c>
      <c r="D57" s="514" t="s">
        <v>128</v>
      </c>
      <c r="E57" s="515">
        <v>225</v>
      </c>
      <c r="F57" s="516">
        <f>SUM(C57*E57)</f>
        <v>2025</v>
      </c>
      <c r="G57" s="524" t="s">
        <v>124</v>
      </c>
      <c r="H57" s="524" t="s">
        <v>124</v>
      </c>
      <c r="I57" s="437">
        <f t="shared" si="3"/>
        <v>2025</v>
      </c>
      <c r="J57" s="277"/>
      <c r="K57" s="286"/>
      <c r="L57" s="196"/>
      <c r="M57" s="267" t="s">
        <v>9</v>
      </c>
      <c r="N57" s="267"/>
      <c r="O57" s="267"/>
      <c r="P57" s="267"/>
    </row>
    <row r="58" spans="1:16" s="283" customFormat="1" ht="20.100000000000001" customHeight="1">
      <c r="A58" s="278"/>
      <c r="B58" s="391" t="s">
        <v>373</v>
      </c>
      <c r="C58" s="513">
        <v>6</v>
      </c>
      <c r="D58" s="514" t="s">
        <v>128</v>
      </c>
      <c r="E58" s="516">
        <v>2850</v>
      </c>
      <c r="F58" s="516">
        <f>SUM(C58*E58)</f>
        <v>17100</v>
      </c>
      <c r="G58" s="524" t="s">
        <v>124</v>
      </c>
      <c r="H58" s="524" t="s">
        <v>124</v>
      </c>
      <c r="I58" s="437">
        <f t="shared" si="3"/>
        <v>17100</v>
      </c>
      <c r="J58" s="277"/>
      <c r="K58" s="286"/>
      <c r="L58" s="196"/>
      <c r="M58" s="267"/>
      <c r="N58" s="267"/>
      <c r="O58" s="267"/>
      <c r="P58" s="267"/>
    </row>
    <row r="59" spans="1:16" ht="20.100000000000001" customHeight="1">
      <c r="A59" s="278"/>
      <c r="B59" s="391" t="s">
        <v>374</v>
      </c>
      <c r="C59" s="526">
        <v>1</v>
      </c>
      <c r="D59" s="514" t="s">
        <v>128</v>
      </c>
      <c r="E59" s="532">
        <v>22000</v>
      </c>
      <c r="F59" s="515">
        <f t="shared" ref="F59:F64" si="4">SUM(C59*E59)</f>
        <v>22000</v>
      </c>
      <c r="G59" s="524" t="s">
        <v>124</v>
      </c>
      <c r="H59" s="524" t="s">
        <v>124</v>
      </c>
      <c r="I59" s="437">
        <f t="shared" si="3"/>
        <v>22000</v>
      </c>
      <c r="J59" s="277"/>
      <c r="K59" s="304"/>
      <c r="L59" s="305"/>
      <c r="M59" s="304"/>
      <c r="N59" s="304"/>
      <c r="O59" s="304"/>
      <c r="P59" s="304"/>
    </row>
    <row r="60" spans="1:16" ht="20.100000000000001" customHeight="1">
      <c r="A60" s="278"/>
      <c r="B60" s="387" t="s">
        <v>375</v>
      </c>
      <c r="C60" s="526">
        <v>18</v>
      </c>
      <c r="D60" s="514" t="s">
        <v>128</v>
      </c>
      <c r="E60" s="532">
        <v>360</v>
      </c>
      <c r="F60" s="515">
        <f t="shared" si="4"/>
        <v>6480</v>
      </c>
      <c r="G60" s="524" t="s">
        <v>124</v>
      </c>
      <c r="H60" s="524" t="s">
        <v>124</v>
      </c>
      <c r="I60" s="437">
        <f t="shared" si="3"/>
        <v>6480</v>
      </c>
      <c r="J60" s="277"/>
      <c r="K60" s="286"/>
    </row>
    <row r="61" spans="1:16" ht="20.100000000000001" customHeight="1">
      <c r="A61" s="278"/>
      <c r="B61" s="387" t="s">
        <v>376</v>
      </c>
      <c r="C61" s="526">
        <v>1</v>
      </c>
      <c r="D61" s="514" t="s">
        <v>128</v>
      </c>
      <c r="E61" s="532">
        <v>42100</v>
      </c>
      <c r="F61" s="515">
        <f t="shared" si="4"/>
        <v>42100</v>
      </c>
      <c r="G61" s="524" t="s">
        <v>124</v>
      </c>
      <c r="H61" s="524" t="s">
        <v>124</v>
      </c>
      <c r="I61" s="437">
        <f t="shared" si="3"/>
        <v>42100</v>
      </c>
      <c r="J61" s="277"/>
      <c r="K61" s="286"/>
      <c r="L61" s="196" t="s">
        <v>9</v>
      </c>
    </row>
    <row r="62" spans="1:16" ht="20.100000000000001" customHeight="1">
      <c r="A62" s="278"/>
      <c r="B62" s="387" t="s">
        <v>377</v>
      </c>
      <c r="C62" s="526">
        <v>1</v>
      </c>
      <c r="D62" s="514" t="s">
        <v>128</v>
      </c>
      <c r="E62" s="532">
        <v>26400</v>
      </c>
      <c r="F62" s="515">
        <f t="shared" si="4"/>
        <v>26400</v>
      </c>
      <c r="G62" s="524" t="s">
        <v>124</v>
      </c>
      <c r="H62" s="524" t="s">
        <v>124</v>
      </c>
      <c r="I62" s="437">
        <f t="shared" si="3"/>
        <v>26400</v>
      </c>
      <c r="J62" s="277"/>
      <c r="K62" s="286"/>
    </row>
    <row r="63" spans="1:16" ht="20.100000000000001" customHeight="1">
      <c r="A63" s="278"/>
      <c r="B63" s="387" t="s">
        <v>378</v>
      </c>
      <c r="C63" s="526">
        <v>12</v>
      </c>
      <c r="D63" s="514" t="s">
        <v>128</v>
      </c>
      <c r="E63" s="532">
        <v>1589</v>
      </c>
      <c r="F63" s="515">
        <f t="shared" si="4"/>
        <v>19068</v>
      </c>
      <c r="G63" s="524" t="s">
        <v>124</v>
      </c>
      <c r="H63" s="524" t="s">
        <v>124</v>
      </c>
      <c r="I63" s="437">
        <f t="shared" si="3"/>
        <v>19068</v>
      </c>
      <c r="J63" s="277"/>
      <c r="K63" s="286"/>
    </row>
    <row r="64" spans="1:16" ht="20.100000000000001" customHeight="1">
      <c r="A64" s="278"/>
      <c r="B64" s="387" t="s">
        <v>379</v>
      </c>
      <c r="C64" s="526">
        <v>24</v>
      </c>
      <c r="D64" s="514" t="s">
        <v>128</v>
      </c>
      <c r="E64" s="532">
        <v>320</v>
      </c>
      <c r="F64" s="515">
        <f t="shared" si="4"/>
        <v>7680</v>
      </c>
      <c r="G64" s="524" t="s">
        <v>124</v>
      </c>
      <c r="H64" s="524" t="s">
        <v>124</v>
      </c>
      <c r="I64" s="437">
        <f t="shared" si="3"/>
        <v>7680</v>
      </c>
      <c r="J64" s="277"/>
      <c r="K64" s="286"/>
      <c r="L64" s="196" t="s">
        <v>9</v>
      </c>
    </row>
    <row r="65" spans="1:16" ht="20.100000000000001" customHeight="1">
      <c r="A65" s="278"/>
      <c r="B65" s="387"/>
      <c r="C65" s="526"/>
      <c r="D65" s="514"/>
      <c r="E65" s="532"/>
      <c r="F65" s="515"/>
      <c r="G65" s="524"/>
      <c r="H65" s="524"/>
      <c r="I65" s="437"/>
      <c r="J65" s="277"/>
      <c r="K65" s="286"/>
    </row>
    <row r="66" spans="1:16" s="304" customFormat="1" ht="24">
      <c r="A66" s="413"/>
      <c r="B66" s="468"/>
      <c r="C66" s="468"/>
      <c r="D66" s="468"/>
      <c r="E66" s="468"/>
      <c r="F66" s="468"/>
      <c r="G66" s="468"/>
      <c r="H66" s="468"/>
      <c r="I66" s="468"/>
      <c r="K66" s="286"/>
      <c r="L66" s="196" t="s">
        <v>9</v>
      </c>
      <c r="M66" s="438">
        <f>SUM(I53:I65)</f>
        <v>161683</v>
      </c>
      <c r="N66" s="267"/>
      <c r="O66" s="267"/>
      <c r="P66" s="267"/>
    </row>
    <row r="67" spans="1:16" ht="20.100000000000001" customHeight="1">
      <c r="A67" s="278"/>
      <c r="B67" s="387"/>
      <c r="C67" s="526"/>
      <c r="D67" s="514"/>
      <c r="E67" s="532"/>
      <c r="F67" s="515"/>
      <c r="G67" s="524"/>
      <c r="H67" s="524"/>
      <c r="I67" s="437"/>
      <c r="J67" s="277"/>
      <c r="K67" s="286"/>
      <c r="L67" s="424" t="s">
        <v>9</v>
      </c>
      <c r="M67" s="267" t="s">
        <v>9</v>
      </c>
    </row>
    <row r="68" spans="1:16" ht="20.100000000000001" customHeight="1">
      <c r="A68" s="278"/>
      <c r="B68" s="387"/>
      <c r="C68" s="526"/>
      <c r="D68" s="514"/>
      <c r="E68" s="532"/>
      <c r="F68" s="515"/>
      <c r="G68" s="524"/>
      <c r="H68" s="524"/>
      <c r="I68" s="437"/>
      <c r="J68" s="277"/>
      <c r="K68" s="286"/>
      <c r="L68" s="284"/>
      <c r="M68" s="283"/>
      <c r="N68" s="283"/>
      <c r="O68" s="283"/>
      <c r="P68" s="283"/>
    </row>
    <row r="69" spans="1:16" ht="20.100000000000001" customHeight="1">
      <c r="A69" s="278"/>
      <c r="B69" s="279"/>
      <c r="C69" s="285"/>
      <c r="D69" s="274"/>
      <c r="E69" s="281"/>
      <c r="F69" s="281"/>
      <c r="G69" s="281"/>
      <c r="H69" s="281"/>
      <c r="I69" s="282"/>
      <c r="J69" s="277"/>
      <c r="K69" s="283"/>
      <c r="L69" s="284"/>
      <c r="M69" s="283" t="s">
        <v>9</v>
      </c>
      <c r="N69" s="283"/>
      <c r="O69" s="283"/>
      <c r="P69" s="283"/>
    </row>
    <row r="70" spans="1:16" ht="20.100000000000001" customHeight="1">
      <c r="A70" s="460"/>
      <c r="B70" s="288" t="s">
        <v>18</v>
      </c>
      <c r="C70" s="285"/>
      <c r="D70" s="274"/>
      <c r="E70" s="289"/>
      <c r="F70" s="290">
        <f>SUM(F53:F69)</f>
        <v>161683</v>
      </c>
      <c r="G70" s="291"/>
      <c r="H70" s="290"/>
      <c r="I70" s="276"/>
      <c r="J70" s="277"/>
      <c r="K70" s="283"/>
      <c r="L70" s="284"/>
      <c r="M70" s="283"/>
      <c r="N70" s="283"/>
      <c r="O70" s="283"/>
      <c r="P70" s="283"/>
    </row>
    <row r="71" spans="1:16" ht="20.100000000000001" customHeight="1">
      <c r="A71" s="460"/>
      <c r="B71" s="278" t="s">
        <v>86</v>
      </c>
      <c r="C71" s="285"/>
      <c r="D71" s="274"/>
      <c r="E71" s="289"/>
      <c r="F71" s="281"/>
      <c r="G71" s="291"/>
      <c r="H71" s="292"/>
      <c r="I71" s="423">
        <f>SUM(I51:I69)</f>
        <v>161683</v>
      </c>
      <c r="J71" s="277"/>
      <c r="K71" s="283"/>
      <c r="L71" s="284"/>
      <c r="M71" s="283"/>
      <c r="N71" s="283"/>
      <c r="O71" s="283"/>
      <c r="P71" s="283"/>
    </row>
    <row r="72" spans="1:16" ht="20.100000000000001" customHeight="1">
      <c r="A72" s="278"/>
      <c r="B72" s="415" t="s">
        <v>349</v>
      </c>
      <c r="C72" s="363"/>
      <c r="D72" s="335"/>
      <c r="E72" s="329"/>
      <c r="F72" s="329"/>
      <c r="G72" s="331"/>
      <c r="H72" s="331"/>
      <c r="I72" s="332"/>
      <c r="J72" s="277"/>
      <c r="K72" s="283"/>
      <c r="L72" s="284" t="s">
        <v>9</v>
      </c>
      <c r="M72" s="283"/>
      <c r="N72" s="283"/>
      <c r="O72" s="283"/>
      <c r="P72" s="283"/>
    </row>
    <row r="73" spans="1:16" ht="20.100000000000001" customHeight="1">
      <c r="A73" s="278"/>
      <c r="B73" s="521" t="s">
        <v>367</v>
      </c>
      <c r="C73" s="363"/>
      <c r="D73" s="335"/>
      <c r="E73" s="378"/>
      <c r="F73" s="378"/>
      <c r="G73" s="336"/>
      <c r="H73" s="336"/>
      <c r="I73" s="379"/>
      <c r="J73" s="277"/>
    </row>
    <row r="74" spans="1:16" s="283" customFormat="1" ht="20.100000000000001" customHeight="1">
      <c r="A74" s="278"/>
      <c r="B74" s="387" t="s">
        <v>380</v>
      </c>
      <c r="C74" s="526">
        <v>12</v>
      </c>
      <c r="D74" s="514" t="s">
        <v>128</v>
      </c>
      <c r="E74" s="532">
        <v>4500</v>
      </c>
      <c r="F74" s="515">
        <f>SUM(C74*E74)</f>
        <v>54000</v>
      </c>
      <c r="G74" s="524" t="s">
        <v>124</v>
      </c>
      <c r="H74" s="524" t="s">
        <v>124</v>
      </c>
      <c r="I74" s="437">
        <f t="shared" ref="I74:I76" si="5">SUM(F74)</f>
        <v>54000</v>
      </c>
      <c r="J74" s="277"/>
      <c r="K74" s="267"/>
      <c r="L74" s="196"/>
      <c r="M74" s="438"/>
      <c r="N74" s="438"/>
      <c r="O74" s="267"/>
      <c r="P74" s="267"/>
    </row>
    <row r="75" spans="1:16" s="283" customFormat="1" ht="20.100000000000001" customHeight="1">
      <c r="A75" s="279"/>
      <c r="B75" s="387" t="s">
        <v>381</v>
      </c>
      <c r="C75" s="526">
        <v>12</v>
      </c>
      <c r="D75" s="514" t="s">
        <v>128</v>
      </c>
      <c r="E75" s="532">
        <v>2640</v>
      </c>
      <c r="F75" s="515">
        <f>SUM(C75*E75)</f>
        <v>31680</v>
      </c>
      <c r="G75" s="524" t="s">
        <v>124</v>
      </c>
      <c r="H75" s="524" t="s">
        <v>124</v>
      </c>
      <c r="I75" s="437">
        <f t="shared" si="5"/>
        <v>31680</v>
      </c>
      <c r="J75" s="277"/>
      <c r="K75" s="267"/>
      <c r="L75" s="196"/>
      <c r="M75" s="267"/>
      <c r="N75" s="267"/>
      <c r="O75" s="267"/>
      <c r="P75" s="267"/>
    </row>
    <row r="76" spans="1:16" s="283" customFormat="1" ht="20.100000000000001" customHeight="1">
      <c r="A76" s="279"/>
      <c r="B76" s="387" t="s">
        <v>382</v>
      </c>
      <c r="C76" s="513">
        <v>1</v>
      </c>
      <c r="D76" s="514" t="s">
        <v>128</v>
      </c>
      <c r="E76" s="516">
        <v>4200</v>
      </c>
      <c r="F76" s="516">
        <f>SUM(C76*E76)</f>
        <v>4200</v>
      </c>
      <c r="G76" s="638" t="s">
        <v>129</v>
      </c>
      <c r="H76" s="639"/>
      <c r="I76" s="437">
        <f t="shared" si="5"/>
        <v>4200</v>
      </c>
      <c r="J76" s="277"/>
      <c r="K76" s="267"/>
      <c r="L76" s="196"/>
      <c r="M76" s="267"/>
      <c r="N76" s="267"/>
      <c r="O76" s="267"/>
      <c r="P76" s="267"/>
    </row>
    <row r="77" spans="1:16" s="283" customFormat="1" ht="20.100000000000001" customHeight="1">
      <c r="A77" s="279"/>
      <c r="B77" s="533" t="s">
        <v>272</v>
      </c>
      <c r="C77" s="513"/>
      <c r="D77" s="514"/>
      <c r="E77" s="516"/>
      <c r="F77" s="516"/>
      <c r="G77" s="534"/>
      <c r="H77" s="535"/>
      <c r="I77" s="437"/>
      <c r="J77" s="277"/>
      <c r="K77" s="267"/>
      <c r="L77" s="196"/>
      <c r="M77" s="267"/>
      <c r="N77" s="267"/>
      <c r="O77" s="267"/>
      <c r="P77" s="267"/>
    </row>
    <row r="78" spans="1:16" s="283" customFormat="1" ht="20.100000000000001" customHeight="1">
      <c r="A78" s="279"/>
      <c r="B78" s="509" t="s">
        <v>273</v>
      </c>
      <c r="C78" s="536">
        <v>4</v>
      </c>
      <c r="D78" s="383" t="s">
        <v>128</v>
      </c>
      <c r="E78" s="384">
        <v>20000</v>
      </c>
      <c r="F78" s="385">
        <f t="shared" ref="F78:F85" si="6">SUM(C78*E78)</f>
        <v>80000</v>
      </c>
      <c r="G78" s="511">
        <v>3000</v>
      </c>
      <c r="H78" s="512">
        <f>C78*G78</f>
        <v>12000</v>
      </c>
      <c r="I78" s="376">
        <f>SUM(F78+H78)</f>
        <v>92000</v>
      </c>
      <c r="J78" s="277"/>
      <c r="K78" s="267"/>
      <c r="L78" s="196"/>
      <c r="M78" s="267"/>
      <c r="N78" s="267"/>
      <c r="O78" s="267"/>
      <c r="P78" s="267"/>
    </row>
    <row r="79" spans="1:16" ht="20.100000000000001" customHeight="1">
      <c r="A79" s="279"/>
      <c r="B79" s="509" t="s">
        <v>266</v>
      </c>
      <c r="C79" s="474">
        <v>4</v>
      </c>
      <c r="D79" s="383" t="s">
        <v>128</v>
      </c>
      <c r="E79" s="384">
        <v>1200</v>
      </c>
      <c r="F79" s="385">
        <f t="shared" si="6"/>
        <v>4800</v>
      </c>
      <c r="G79" s="537" t="s">
        <v>124</v>
      </c>
      <c r="H79" s="538" t="s">
        <v>124</v>
      </c>
      <c r="I79" s="376">
        <f>SUM(F79)</f>
        <v>4800</v>
      </c>
      <c r="J79" s="277"/>
    </row>
    <row r="80" spans="1:16" ht="20.100000000000001" customHeight="1">
      <c r="A80" s="279"/>
      <c r="B80" s="509" t="s">
        <v>267</v>
      </c>
      <c r="C80" s="474">
        <v>4</v>
      </c>
      <c r="D80" s="383" t="s">
        <v>128</v>
      </c>
      <c r="E80" s="384">
        <v>425</v>
      </c>
      <c r="F80" s="385">
        <f t="shared" si="6"/>
        <v>1700</v>
      </c>
      <c r="G80" s="537" t="s">
        <v>124</v>
      </c>
      <c r="H80" s="538" t="s">
        <v>124</v>
      </c>
      <c r="I80" s="376">
        <f t="shared" ref="I80:I85" si="7">SUM(F80)</f>
        <v>1700</v>
      </c>
      <c r="J80" s="277"/>
      <c r="K80" s="283"/>
      <c r="L80" s="284"/>
      <c r="M80" s="283"/>
      <c r="N80" s="283"/>
      <c r="O80" s="283"/>
      <c r="P80" s="283"/>
    </row>
    <row r="81" spans="1:16" ht="20.100000000000001" customHeight="1">
      <c r="A81" s="278"/>
      <c r="B81" s="509" t="s">
        <v>274</v>
      </c>
      <c r="C81" s="474">
        <v>4</v>
      </c>
      <c r="D81" s="383" t="s">
        <v>128</v>
      </c>
      <c r="E81" s="384">
        <v>1200</v>
      </c>
      <c r="F81" s="385">
        <f t="shared" si="6"/>
        <v>4800</v>
      </c>
      <c r="G81" s="537" t="s">
        <v>124</v>
      </c>
      <c r="H81" s="538" t="s">
        <v>124</v>
      </c>
      <c r="I81" s="376">
        <f t="shared" si="7"/>
        <v>4800</v>
      </c>
      <c r="J81" s="277"/>
      <c r="K81" s="283"/>
      <c r="L81" s="284"/>
      <c r="M81" s="283"/>
      <c r="N81" s="283"/>
      <c r="O81" s="283"/>
      <c r="P81" s="283"/>
    </row>
    <row r="82" spans="1:16" ht="20.100000000000001" customHeight="1">
      <c r="A82" s="278"/>
      <c r="B82" s="509" t="s">
        <v>268</v>
      </c>
      <c r="C82" s="474">
        <v>4</v>
      </c>
      <c r="D82" s="383" t="s">
        <v>128</v>
      </c>
      <c r="E82" s="384">
        <v>425</v>
      </c>
      <c r="F82" s="385">
        <f t="shared" si="6"/>
        <v>1700</v>
      </c>
      <c r="G82" s="537" t="s">
        <v>124</v>
      </c>
      <c r="H82" s="538" t="s">
        <v>124</v>
      </c>
      <c r="I82" s="376">
        <f t="shared" si="7"/>
        <v>1700</v>
      </c>
      <c r="J82" s="277"/>
      <c r="K82" s="286"/>
    </row>
    <row r="83" spans="1:16" ht="20.100000000000001" customHeight="1">
      <c r="A83" s="278"/>
      <c r="B83" s="509" t="s">
        <v>269</v>
      </c>
      <c r="C83" s="474">
        <v>12</v>
      </c>
      <c r="D83" s="383" t="s">
        <v>128</v>
      </c>
      <c r="E83" s="384">
        <v>225</v>
      </c>
      <c r="F83" s="385">
        <f t="shared" si="6"/>
        <v>2700</v>
      </c>
      <c r="G83" s="537" t="s">
        <v>124</v>
      </c>
      <c r="H83" s="538" t="s">
        <v>124</v>
      </c>
      <c r="I83" s="376">
        <f t="shared" si="7"/>
        <v>2700</v>
      </c>
      <c r="J83" s="277"/>
      <c r="K83" s="286"/>
    </row>
    <row r="84" spans="1:16" ht="20.100000000000001" customHeight="1">
      <c r="A84" s="460"/>
      <c r="B84" s="519" t="s">
        <v>270</v>
      </c>
      <c r="C84" s="474">
        <v>12</v>
      </c>
      <c r="D84" s="383" t="s">
        <v>128</v>
      </c>
      <c r="E84" s="384">
        <v>280</v>
      </c>
      <c r="F84" s="385">
        <f t="shared" si="6"/>
        <v>3360</v>
      </c>
      <c r="G84" s="537" t="s">
        <v>124</v>
      </c>
      <c r="H84" s="538" t="s">
        <v>124</v>
      </c>
      <c r="I84" s="376">
        <f t="shared" si="7"/>
        <v>3360</v>
      </c>
      <c r="J84" s="277"/>
      <c r="K84" s="286"/>
    </row>
    <row r="85" spans="1:16" ht="20.100000000000001" customHeight="1">
      <c r="A85" s="460"/>
      <c r="B85" s="509" t="s">
        <v>383</v>
      </c>
      <c r="C85" s="536">
        <v>64</v>
      </c>
      <c r="D85" s="383" t="s">
        <v>128</v>
      </c>
      <c r="E85" s="384">
        <v>1700</v>
      </c>
      <c r="F85" s="385">
        <f t="shared" si="6"/>
        <v>108800</v>
      </c>
      <c r="G85" s="537" t="s">
        <v>124</v>
      </c>
      <c r="H85" s="538" t="s">
        <v>124</v>
      </c>
      <c r="I85" s="376">
        <f t="shared" si="7"/>
        <v>108800</v>
      </c>
      <c r="J85" s="277"/>
      <c r="K85" s="286"/>
      <c r="L85" s="424"/>
    </row>
    <row r="86" spans="1:16" s="283" customFormat="1" ht="20.100000000000001" customHeight="1">
      <c r="A86" s="460"/>
      <c r="B86" s="509" t="s">
        <v>275</v>
      </c>
      <c r="C86" s="474"/>
      <c r="D86" s="383"/>
      <c r="E86" s="384"/>
      <c r="F86" s="385"/>
      <c r="G86" s="537"/>
      <c r="H86" s="538"/>
      <c r="I86" s="376"/>
      <c r="J86" s="277"/>
      <c r="K86" s="286"/>
      <c r="L86" s="196"/>
      <c r="M86" s="267"/>
      <c r="N86" s="438"/>
      <c r="O86" s="267"/>
      <c r="P86" s="267"/>
    </row>
    <row r="87" spans="1:16" s="283" customFormat="1" ht="20.100000000000001" customHeight="1">
      <c r="A87" s="296"/>
      <c r="B87" s="539" t="s">
        <v>710</v>
      </c>
      <c r="C87" s="474">
        <v>4</v>
      </c>
      <c r="D87" s="383" t="s">
        <v>128</v>
      </c>
      <c r="E87" s="384">
        <v>17514</v>
      </c>
      <c r="F87" s="385">
        <f>C87*E87</f>
        <v>70056</v>
      </c>
      <c r="G87" s="537" t="s">
        <v>124</v>
      </c>
      <c r="H87" s="538" t="s">
        <v>124</v>
      </c>
      <c r="I87" s="376">
        <f>SUM(F87)</f>
        <v>70056</v>
      </c>
      <c r="J87" s="277"/>
      <c r="K87" s="286"/>
      <c r="L87" s="196"/>
      <c r="M87" s="267"/>
      <c r="N87" s="267"/>
      <c r="O87" s="267"/>
      <c r="P87" s="267"/>
    </row>
    <row r="88" spans="1:16" ht="20.100000000000001" customHeight="1">
      <c r="A88" s="277"/>
      <c r="B88" s="509" t="s">
        <v>276</v>
      </c>
      <c r="C88" s="474">
        <v>72</v>
      </c>
      <c r="D88" s="383" t="s">
        <v>157</v>
      </c>
      <c r="E88" s="384">
        <v>567</v>
      </c>
      <c r="F88" s="385">
        <f>C88*E88</f>
        <v>40824</v>
      </c>
      <c r="G88" s="537" t="s">
        <v>124</v>
      </c>
      <c r="H88" s="537" t="s">
        <v>124</v>
      </c>
      <c r="I88" s="376">
        <f>SUM(F88)</f>
        <v>40824</v>
      </c>
      <c r="J88" s="277"/>
      <c r="K88" s="286"/>
      <c r="M88" s="267" t="s">
        <v>9</v>
      </c>
    </row>
    <row r="89" spans="1:16" ht="20.100000000000001" customHeight="1">
      <c r="A89" s="277"/>
      <c r="B89" s="295"/>
      <c r="C89" s="285"/>
      <c r="D89" s="274"/>
      <c r="E89" s="281"/>
      <c r="F89" s="281"/>
      <c r="G89" s="280"/>
      <c r="H89" s="280"/>
      <c r="I89" s="282"/>
      <c r="J89" s="297"/>
      <c r="K89" s="286">
        <f>+H91+F91</f>
        <v>420620</v>
      </c>
      <c r="L89" s="284"/>
      <c r="M89" s="283"/>
      <c r="N89" s="283"/>
      <c r="O89" s="283"/>
      <c r="P89" s="283"/>
    </row>
    <row r="90" spans="1:16" ht="20.100000000000001" customHeight="1">
      <c r="A90" s="300"/>
      <c r="B90" s="279"/>
      <c r="C90" s="299"/>
      <c r="D90" s="274"/>
      <c r="E90" s="281"/>
      <c r="F90" s="281"/>
      <c r="G90" s="301"/>
      <c r="H90" s="281"/>
      <c r="I90" s="282"/>
      <c r="J90" s="277"/>
      <c r="K90" s="283"/>
      <c r="L90" s="284"/>
      <c r="M90" s="283"/>
      <c r="N90" s="283"/>
      <c r="O90" s="283"/>
      <c r="P90" s="283"/>
    </row>
    <row r="91" spans="1:16" ht="20.100000000000001" customHeight="1">
      <c r="A91" s="460"/>
      <c r="B91" s="288" t="s">
        <v>18</v>
      </c>
      <c r="C91" s="285"/>
      <c r="D91" s="274"/>
      <c r="E91" s="289"/>
      <c r="F91" s="290">
        <f>SUM(F72:F90)</f>
        <v>408620</v>
      </c>
      <c r="G91" s="291"/>
      <c r="H91" s="290">
        <f>SUM(H72:H89)</f>
        <v>12000</v>
      </c>
      <c r="I91" s="276"/>
      <c r="J91" s="277"/>
      <c r="K91" s="283"/>
      <c r="L91" s="284"/>
      <c r="M91" s="283"/>
      <c r="N91" s="283"/>
      <c r="O91" s="283"/>
      <c r="P91" s="283"/>
    </row>
    <row r="92" spans="1:16" ht="21.75" customHeight="1">
      <c r="A92" s="460"/>
      <c r="B92" s="278" t="s">
        <v>86</v>
      </c>
      <c r="C92" s="285"/>
      <c r="D92" s="274"/>
      <c r="E92" s="289"/>
      <c r="F92" s="281"/>
      <c r="G92" s="291"/>
      <c r="H92" s="292"/>
      <c r="I92" s="423">
        <f>SUM(I72:I90)</f>
        <v>420620</v>
      </c>
      <c r="J92" s="277"/>
    </row>
    <row r="93" spans="1:16" ht="20.100000000000001" customHeight="1">
      <c r="A93" s="278"/>
      <c r="B93" s="415" t="s">
        <v>349</v>
      </c>
      <c r="C93" s="274"/>
      <c r="D93" s="274"/>
      <c r="E93" s="380"/>
      <c r="F93" s="380"/>
      <c r="G93" s="380"/>
      <c r="H93" s="380"/>
      <c r="I93" s="282"/>
      <c r="J93" s="277"/>
    </row>
    <row r="94" spans="1:16" ht="20.100000000000001" customHeight="1">
      <c r="A94" s="278"/>
      <c r="B94" s="473" t="s">
        <v>282</v>
      </c>
      <c r="C94" s="536"/>
      <c r="D94" s="383"/>
      <c r="E94" s="384"/>
      <c r="F94" s="385"/>
      <c r="G94" s="511"/>
      <c r="H94" s="512"/>
      <c r="I94" s="376"/>
      <c r="J94" s="277"/>
      <c r="N94" s="438"/>
    </row>
    <row r="95" spans="1:16" s="283" customFormat="1" ht="20.100000000000001" customHeight="1">
      <c r="A95" s="278"/>
      <c r="B95" s="509" t="s">
        <v>283</v>
      </c>
      <c r="C95" s="474"/>
      <c r="D95" s="383"/>
      <c r="E95" s="384"/>
      <c r="F95" s="385"/>
      <c r="G95" s="511"/>
      <c r="H95" s="512"/>
      <c r="I95" s="376"/>
      <c r="J95" s="277"/>
      <c r="L95" s="284"/>
    </row>
    <row r="96" spans="1:16" s="283" customFormat="1" ht="20.100000000000001" customHeight="1">
      <c r="A96" s="278"/>
      <c r="B96" s="539" t="s">
        <v>711</v>
      </c>
      <c r="C96" s="536">
        <v>4</v>
      </c>
      <c r="D96" s="383" t="s">
        <v>128</v>
      </c>
      <c r="E96" s="384">
        <v>2478</v>
      </c>
      <c r="F96" s="385">
        <f>C96*E96</f>
        <v>9912</v>
      </c>
      <c r="G96" s="511">
        <v>800</v>
      </c>
      <c r="H96" s="512">
        <f>C96*G96</f>
        <v>3200</v>
      </c>
      <c r="I96" s="376">
        <f>SUM(F96+H96)</f>
        <v>13112</v>
      </c>
      <c r="J96" s="277"/>
      <c r="L96" s="284"/>
    </row>
    <row r="97" spans="1:16" s="283" customFormat="1" ht="20.100000000000001" customHeight="1">
      <c r="A97" s="278"/>
      <c r="B97" s="509" t="s">
        <v>281</v>
      </c>
      <c r="C97" s="536">
        <v>16</v>
      </c>
      <c r="D97" s="383" t="s">
        <v>128</v>
      </c>
      <c r="E97" s="384">
        <v>158</v>
      </c>
      <c r="F97" s="385">
        <f>C97*E97</f>
        <v>2528</v>
      </c>
      <c r="G97" s="537" t="s">
        <v>124</v>
      </c>
      <c r="H97" s="537" t="s">
        <v>124</v>
      </c>
      <c r="I97" s="376">
        <f>SUM(F97)</f>
        <v>2528</v>
      </c>
      <c r="J97" s="277"/>
      <c r="L97" s="284"/>
    </row>
    <row r="98" spans="1:16" ht="20.100000000000001" customHeight="1">
      <c r="A98" s="278"/>
      <c r="B98" s="473" t="s">
        <v>277</v>
      </c>
      <c r="C98" s="536"/>
      <c r="D98" s="383"/>
      <c r="E98" s="384"/>
      <c r="F98" s="385"/>
      <c r="G98" s="511"/>
      <c r="H98" s="512"/>
      <c r="I98" s="376"/>
      <c r="J98" s="277"/>
      <c r="K98" s="283"/>
      <c r="L98" s="284"/>
      <c r="M98" s="283"/>
      <c r="N98" s="283"/>
      <c r="O98" s="283"/>
      <c r="P98" s="283"/>
    </row>
    <row r="99" spans="1:16" ht="20.100000000000001" customHeight="1">
      <c r="A99" s="278"/>
      <c r="B99" s="509" t="s">
        <v>278</v>
      </c>
      <c r="C99" s="536">
        <v>1</v>
      </c>
      <c r="D99" s="383" t="s">
        <v>128</v>
      </c>
      <c r="E99" s="384">
        <v>3000</v>
      </c>
      <c r="F99" s="385">
        <f>SUM(C99*E99)</f>
        <v>3000</v>
      </c>
      <c r="G99" s="511">
        <v>1000</v>
      </c>
      <c r="H99" s="512">
        <f>C99*G99</f>
        <v>1000</v>
      </c>
      <c r="I99" s="376">
        <f>SUM(F99+H99)</f>
        <v>4000</v>
      </c>
      <c r="J99" s="277"/>
    </row>
    <row r="100" spans="1:16" ht="20.100000000000001" customHeight="1">
      <c r="A100" s="278"/>
      <c r="B100" s="509" t="s">
        <v>269</v>
      </c>
      <c r="C100" s="474">
        <v>3</v>
      </c>
      <c r="D100" s="383" t="s">
        <v>128</v>
      </c>
      <c r="E100" s="384">
        <v>225</v>
      </c>
      <c r="F100" s="385">
        <f>SUM(C100*E100)</f>
        <v>675</v>
      </c>
      <c r="G100" s="537" t="s">
        <v>124</v>
      </c>
      <c r="H100" s="538" t="s">
        <v>124</v>
      </c>
      <c r="I100" s="376">
        <f>SUM(F100)</f>
        <v>675</v>
      </c>
      <c r="J100" s="277"/>
      <c r="L100" s="424"/>
    </row>
    <row r="101" spans="1:16" s="283" customFormat="1" ht="20.100000000000001" customHeight="1">
      <c r="A101" s="278"/>
      <c r="B101" s="509" t="s">
        <v>270</v>
      </c>
      <c r="C101" s="474">
        <v>3</v>
      </c>
      <c r="D101" s="383" t="s">
        <v>128</v>
      </c>
      <c r="E101" s="384">
        <v>280</v>
      </c>
      <c r="F101" s="385">
        <f>SUM(C101*E101)</f>
        <v>840</v>
      </c>
      <c r="G101" s="537" t="s">
        <v>124</v>
      </c>
      <c r="H101" s="538" t="s">
        <v>124</v>
      </c>
      <c r="I101" s="376">
        <f>SUM(F101)</f>
        <v>840</v>
      </c>
      <c r="J101" s="277"/>
      <c r="K101" s="267"/>
      <c r="L101" s="196"/>
      <c r="M101" s="267"/>
      <c r="N101" s="267"/>
      <c r="O101" s="267"/>
      <c r="P101" s="267"/>
    </row>
    <row r="102" spans="1:16" s="283" customFormat="1" ht="20.100000000000001" customHeight="1">
      <c r="A102" s="278"/>
      <c r="B102" s="509" t="s">
        <v>279</v>
      </c>
      <c r="C102" s="536">
        <v>1</v>
      </c>
      <c r="D102" s="383" t="s">
        <v>128</v>
      </c>
      <c r="E102" s="384">
        <v>8245</v>
      </c>
      <c r="F102" s="385">
        <f>C102*E102</f>
        <v>8245</v>
      </c>
      <c r="G102" s="537" t="s">
        <v>124</v>
      </c>
      <c r="H102" s="537" t="s">
        <v>124</v>
      </c>
      <c r="I102" s="376">
        <f>SUM(F102)</f>
        <v>8245</v>
      </c>
      <c r="J102" s="277"/>
      <c r="K102" s="286"/>
      <c r="L102" s="196"/>
      <c r="M102" s="267"/>
      <c r="N102" s="267"/>
      <c r="O102" s="267"/>
      <c r="P102" s="267"/>
    </row>
    <row r="103" spans="1:16" s="283" customFormat="1" ht="20.100000000000001" customHeight="1">
      <c r="A103" s="278"/>
      <c r="B103" s="509" t="s">
        <v>275</v>
      </c>
      <c r="C103" s="474"/>
      <c r="D103" s="383"/>
      <c r="E103" s="384"/>
      <c r="F103" s="385"/>
      <c r="G103" s="537"/>
      <c r="H103" s="538"/>
      <c r="I103" s="376"/>
      <c r="J103" s="277"/>
      <c r="K103" s="286"/>
      <c r="L103" s="196"/>
      <c r="M103" s="267"/>
      <c r="N103" s="438"/>
      <c r="O103" s="267"/>
      <c r="P103" s="267"/>
    </row>
    <row r="104" spans="1:16" s="283" customFormat="1" ht="20.100000000000001" customHeight="1">
      <c r="A104" s="278"/>
      <c r="B104" s="539" t="s">
        <v>712</v>
      </c>
      <c r="C104" s="474">
        <v>1</v>
      </c>
      <c r="D104" s="383" t="s">
        <v>128</v>
      </c>
      <c r="E104" s="384">
        <v>10640</v>
      </c>
      <c r="F104" s="385">
        <f>C104*E104</f>
        <v>10640</v>
      </c>
      <c r="G104" s="511">
        <v>1000</v>
      </c>
      <c r="H104" s="512">
        <f>C104*G104</f>
        <v>1000</v>
      </c>
      <c r="I104" s="376">
        <f>SUM(F104+H104)</f>
        <v>11640</v>
      </c>
      <c r="J104" s="277"/>
      <c r="K104" s="286"/>
      <c r="L104" s="196"/>
      <c r="M104" s="267"/>
      <c r="N104" s="267" t="s">
        <v>9</v>
      </c>
      <c r="O104" s="267"/>
      <c r="P104" s="267"/>
    </row>
    <row r="105" spans="1:16" ht="20.100000000000001" customHeight="1">
      <c r="A105" s="278"/>
      <c r="B105" s="509" t="s">
        <v>280</v>
      </c>
      <c r="C105" s="536">
        <v>6</v>
      </c>
      <c r="D105" s="383" t="s">
        <v>128</v>
      </c>
      <c r="E105" s="384">
        <v>158</v>
      </c>
      <c r="F105" s="385">
        <f>C105*E105</f>
        <v>948</v>
      </c>
      <c r="G105" s="537" t="s">
        <v>124</v>
      </c>
      <c r="H105" s="537" t="s">
        <v>124</v>
      </c>
      <c r="I105" s="376">
        <f>SUM(F105)</f>
        <v>948</v>
      </c>
      <c r="J105" s="277"/>
      <c r="K105" s="286"/>
    </row>
    <row r="106" spans="1:16" ht="20.100000000000001" customHeight="1">
      <c r="A106" s="278"/>
      <c r="B106" s="509" t="s">
        <v>281</v>
      </c>
      <c r="C106" s="536">
        <v>12</v>
      </c>
      <c r="D106" s="383" t="s">
        <v>128</v>
      </c>
      <c r="E106" s="384">
        <v>158</v>
      </c>
      <c r="F106" s="385">
        <f>C106*E106</f>
        <v>1896</v>
      </c>
      <c r="G106" s="537" t="s">
        <v>124</v>
      </c>
      <c r="H106" s="537" t="s">
        <v>124</v>
      </c>
      <c r="I106" s="376">
        <f>SUM(F106)</f>
        <v>1896</v>
      </c>
      <c r="J106" s="277"/>
      <c r="K106" s="286"/>
    </row>
    <row r="107" spans="1:16" ht="20.100000000000001" customHeight="1">
      <c r="A107" s="278"/>
      <c r="B107" s="473" t="s">
        <v>284</v>
      </c>
      <c r="C107" s="299"/>
      <c r="D107" s="274"/>
      <c r="E107" s="289"/>
      <c r="F107" s="281"/>
      <c r="G107" s="294"/>
      <c r="H107" s="302"/>
      <c r="I107" s="282"/>
      <c r="J107" s="277"/>
      <c r="K107" s="286"/>
    </row>
    <row r="108" spans="1:16" ht="20.100000000000001" customHeight="1">
      <c r="A108" s="278"/>
      <c r="B108" s="509" t="s">
        <v>265</v>
      </c>
      <c r="C108" s="536"/>
      <c r="D108" s="383"/>
      <c r="E108" s="384"/>
      <c r="F108" s="385"/>
      <c r="G108" s="537"/>
      <c r="H108" s="538"/>
      <c r="I108" s="376"/>
      <c r="J108" s="277"/>
      <c r="K108" s="286"/>
      <c r="M108" s="438"/>
    </row>
    <row r="109" spans="1:16" ht="20.100000000000001" customHeight="1">
      <c r="A109" s="278"/>
      <c r="B109" s="387" t="s">
        <v>386</v>
      </c>
      <c r="C109" s="474">
        <v>1</v>
      </c>
      <c r="D109" s="383" t="s">
        <v>128</v>
      </c>
      <c r="E109" s="384">
        <v>12500</v>
      </c>
      <c r="F109" s="385">
        <f t="shared" ref="F109:F110" si="8">SUM(C109*E109)</f>
        <v>12500</v>
      </c>
      <c r="G109" s="511">
        <v>1000</v>
      </c>
      <c r="H109" s="512">
        <f>C109*G109</f>
        <v>1000</v>
      </c>
      <c r="I109" s="376">
        <f>SUM(F109+H109)</f>
        <v>13500</v>
      </c>
      <c r="J109" s="277"/>
      <c r="K109" s="286"/>
      <c r="L109" s="424"/>
    </row>
    <row r="110" spans="1:16" ht="20.100000000000001" customHeight="1">
      <c r="A110" s="278"/>
      <c r="B110" s="509" t="s">
        <v>713</v>
      </c>
      <c r="C110" s="474">
        <v>1</v>
      </c>
      <c r="D110" s="383" t="s">
        <v>128</v>
      </c>
      <c r="E110" s="384">
        <v>5280</v>
      </c>
      <c r="F110" s="385">
        <f t="shared" si="8"/>
        <v>5280</v>
      </c>
      <c r="G110" s="537" t="s">
        <v>124</v>
      </c>
      <c r="H110" s="538" t="s">
        <v>124</v>
      </c>
      <c r="I110" s="376">
        <f>SUM(F110)</f>
        <v>5280</v>
      </c>
      <c r="J110" s="277"/>
      <c r="K110" s="286"/>
      <c r="L110" s="284"/>
      <c r="M110" s="283"/>
      <c r="N110" s="283"/>
      <c r="O110" s="283"/>
      <c r="P110" s="283"/>
    </row>
    <row r="111" spans="1:16" ht="20.100000000000001" customHeight="1">
      <c r="A111" s="278"/>
      <c r="B111" s="279"/>
      <c r="C111" s="285"/>
      <c r="D111" s="274"/>
      <c r="E111" s="281"/>
      <c r="F111" s="281"/>
      <c r="G111" s="281"/>
      <c r="H111" s="281"/>
      <c r="I111" s="282"/>
      <c r="J111" s="277"/>
      <c r="K111" s="283"/>
      <c r="L111" s="284"/>
      <c r="M111" s="283"/>
      <c r="N111" s="283"/>
      <c r="O111" s="283"/>
      <c r="P111" s="283"/>
    </row>
    <row r="112" spans="1:16" ht="20.100000000000001" customHeight="1">
      <c r="A112" s="460"/>
      <c r="B112" s="288" t="s">
        <v>18</v>
      </c>
      <c r="C112" s="285"/>
      <c r="D112" s="274"/>
      <c r="E112" s="289"/>
      <c r="F112" s="290">
        <f>SUM(F94:F111)</f>
        <v>56464</v>
      </c>
      <c r="G112" s="291"/>
      <c r="H112" s="290">
        <f>SUM(H94:H110)</f>
        <v>6200</v>
      </c>
      <c r="I112" s="276"/>
      <c r="J112" s="277"/>
      <c r="K112" s="283"/>
      <c r="L112" s="284"/>
      <c r="M112" s="283"/>
      <c r="N112" s="283"/>
      <c r="O112" s="283"/>
      <c r="P112" s="283"/>
    </row>
    <row r="113" spans="1:16" ht="24.75" customHeight="1">
      <c r="A113" s="460"/>
      <c r="B113" s="278" t="s">
        <v>86</v>
      </c>
      <c r="C113" s="285"/>
      <c r="D113" s="274"/>
      <c r="E113" s="289"/>
      <c r="F113" s="281"/>
      <c r="G113" s="291"/>
      <c r="H113" s="292"/>
      <c r="I113" s="423">
        <f>SUM(I94:I111)</f>
        <v>62664</v>
      </c>
      <c r="J113" s="439"/>
      <c r="K113" s="283"/>
      <c r="L113" s="284"/>
      <c r="M113" s="283"/>
      <c r="N113" s="283"/>
      <c r="O113" s="283"/>
      <c r="P113" s="283"/>
    </row>
    <row r="114" spans="1:16" ht="20.100000000000001" customHeight="1">
      <c r="A114" s="278"/>
      <c r="B114" s="415" t="s">
        <v>349</v>
      </c>
      <c r="C114" s="274"/>
      <c r="D114" s="274"/>
      <c r="E114" s="380"/>
      <c r="F114" s="380"/>
      <c r="G114" s="380"/>
      <c r="H114" s="380"/>
      <c r="I114" s="332"/>
      <c r="J114" s="277"/>
    </row>
    <row r="115" spans="1:16" ht="20.100000000000001" customHeight="1">
      <c r="A115" s="278"/>
      <c r="B115" s="473" t="s">
        <v>388</v>
      </c>
      <c r="C115" s="536"/>
      <c r="D115" s="383"/>
      <c r="E115" s="384"/>
      <c r="F115" s="385"/>
      <c r="G115" s="511"/>
      <c r="H115" s="512"/>
      <c r="I115" s="376"/>
      <c r="J115" s="277"/>
    </row>
    <row r="116" spans="1:16" s="283" customFormat="1" ht="20.100000000000001" customHeight="1">
      <c r="A116" s="279"/>
      <c r="B116" s="509" t="s">
        <v>714</v>
      </c>
      <c r="C116" s="474">
        <v>1</v>
      </c>
      <c r="D116" s="383" t="s">
        <v>128</v>
      </c>
      <c r="E116" s="384">
        <v>3570</v>
      </c>
      <c r="F116" s="385">
        <f t="shared" ref="F116:F119" si="9">SUM(C116*E116)</f>
        <v>3570</v>
      </c>
      <c r="G116" s="537" t="s">
        <v>124</v>
      </c>
      <c r="H116" s="538" t="s">
        <v>124</v>
      </c>
      <c r="I116" s="376">
        <f>SUM(F116)</f>
        <v>3570</v>
      </c>
      <c r="J116" s="277"/>
      <c r="K116" s="267"/>
      <c r="L116" s="196"/>
      <c r="M116" s="267"/>
      <c r="N116" s="267"/>
      <c r="O116" s="267"/>
      <c r="P116" s="267"/>
    </row>
    <row r="117" spans="1:16" s="283" customFormat="1" ht="20.100000000000001" customHeight="1">
      <c r="A117" s="279"/>
      <c r="B117" s="509" t="s">
        <v>715</v>
      </c>
      <c r="C117" s="474">
        <v>3</v>
      </c>
      <c r="D117" s="383" t="s">
        <v>128</v>
      </c>
      <c r="E117" s="384">
        <v>2100</v>
      </c>
      <c r="F117" s="385">
        <f t="shared" si="9"/>
        <v>6300</v>
      </c>
      <c r="G117" s="537" t="s">
        <v>124</v>
      </c>
      <c r="H117" s="538" t="s">
        <v>124</v>
      </c>
      <c r="I117" s="376">
        <f>SUM(F117)</f>
        <v>6300</v>
      </c>
      <c r="J117" s="277"/>
      <c r="K117" s="267"/>
      <c r="L117" s="196"/>
      <c r="M117" s="438"/>
      <c r="N117" s="438"/>
      <c r="O117" s="267"/>
      <c r="P117" s="267"/>
    </row>
    <row r="118" spans="1:16" s="283" customFormat="1" ht="20.100000000000001" customHeight="1">
      <c r="A118" s="279"/>
      <c r="B118" s="509" t="s">
        <v>269</v>
      </c>
      <c r="C118" s="474">
        <v>3</v>
      </c>
      <c r="D118" s="383" t="s">
        <v>128</v>
      </c>
      <c r="E118" s="384">
        <v>225</v>
      </c>
      <c r="F118" s="385">
        <f t="shared" si="9"/>
        <v>675</v>
      </c>
      <c r="G118" s="537" t="s">
        <v>124</v>
      </c>
      <c r="H118" s="538" t="s">
        <v>124</v>
      </c>
      <c r="I118" s="376">
        <f>SUM(F118)</f>
        <v>675</v>
      </c>
      <c r="J118" s="277"/>
      <c r="L118" s="284"/>
    </row>
    <row r="119" spans="1:16" s="283" customFormat="1" ht="20.100000000000001" customHeight="1">
      <c r="A119" s="278"/>
      <c r="B119" s="509" t="s">
        <v>270</v>
      </c>
      <c r="C119" s="474">
        <v>3</v>
      </c>
      <c r="D119" s="383" t="s">
        <v>128</v>
      </c>
      <c r="E119" s="384">
        <v>280</v>
      </c>
      <c r="F119" s="385">
        <f t="shared" si="9"/>
        <v>840</v>
      </c>
      <c r="G119" s="537" t="s">
        <v>124</v>
      </c>
      <c r="H119" s="538" t="s">
        <v>124</v>
      </c>
      <c r="I119" s="376">
        <f>SUM(F119)</f>
        <v>840</v>
      </c>
      <c r="J119" s="277"/>
      <c r="L119" s="284"/>
    </row>
    <row r="120" spans="1:16" ht="20.100000000000001" customHeight="1">
      <c r="A120" s="278"/>
      <c r="B120" s="473" t="s">
        <v>285</v>
      </c>
      <c r="C120" s="536"/>
      <c r="D120" s="383"/>
      <c r="E120" s="384"/>
      <c r="F120" s="385"/>
      <c r="G120" s="511"/>
      <c r="H120" s="512"/>
      <c r="I120" s="376"/>
      <c r="J120" s="277"/>
      <c r="K120" s="286"/>
    </row>
    <row r="121" spans="1:16" ht="20.100000000000001" customHeight="1">
      <c r="A121" s="278"/>
      <c r="B121" s="509" t="s">
        <v>265</v>
      </c>
      <c r="C121" s="536"/>
      <c r="D121" s="383"/>
      <c r="E121" s="384"/>
      <c r="F121" s="385"/>
      <c r="G121" s="537"/>
      <c r="H121" s="538"/>
      <c r="I121" s="376"/>
      <c r="J121" s="277"/>
      <c r="K121" s="286"/>
    </row>
    <row r="122" spans="1:16" ht="20.100000000000001" customHeight="1">
      <c r="A122" s="460"/>
      <c r="B122" s="387" t="s">
        <v>286</v>
      </c>
      <c r="C122" s="474">
        <v>1</v>
      </c>
      <c r="D122" s="383" t="s">
        <v>128</v>
      </c>
      <c r="E122" s="384">
        <v>5000</v>
      </c>
      <c r="F122" s="385">
        <f>SUM(C122*E122)</f>
        <v>5000</v>
      </c>
      <c r="G122" s="511">
        <v>1000</v>
      </c>
      <c r="H122" s="512">
        <f>C122*G122</f>
        <v>1000</v>
      </c>
      <c r="I122" s="376">
        <f>SUM(F122+H122)</f>
        <v>6000</v>
      </c>
      <c r="J122" s="277"/>
      <c r="K122" s="286"/>
    </row>
    <row r="123" spans="1:16" ht="20.100000000000001" customHeight="1">
      <c r="A123" s="460"/>
      <c r="B123" s="509" t="s">
        <v>716</v>
      </c>
      <c r="C123" s="474">
        <v>1</v>
      </c>
      <c r="D123" s="383" t="s">
        <v>128</v>
      </c>
      <c r="E123" s="384">
        <v>2170</v>
      </c>
      <c r="F123" s="385">
        <f>SUM(C123*E123)</f>
        <v>2170</v>
      </c>
      <c r="G123" s="537" t="s">
        <v>124</v>
      </c>
      <c r="H123" s="538" t="s">
        <v>124</v>
      </c>
      <c r="I123" s="376">
        <f>SUM(F123)</f>
        <v>2170</v>
      </c>
      <c r="J123" s="277"/>
      <c r="K123" s="286"/>
      <c r="L123" s="424"/>
    </row>
    <row r="124" spans="1:16" s="283" customFormat="1" ht="20.100000000000001" customHeight="1">
      <c r="A124" s="460"/>
      <c r="B124" s="509" t="s">
        <v>715</v>
      </c>
      <c r="C124" s="474">
        <v>2</v>
      </c>
      <c r="D124" s="383" t="s">
        <v>128</v>
      </c>
      <c r="E124" s="384">
        <v>2100</v>
      </c>
      <c r="F124" s="385">
        <f>SUM(C124*E124)</f>
        <v>4200</v>
      </c>
      <c r="G124" s="537" t="s">
        <v>124</v>
      </c>
      <c r="H124" s="538" t="s">
        <v>124</v>
      </c>
      <c r="I124" s="376">
        <f>SUM(F124)</f>
        <v>4200</v>
      </c>
      <c r="J124" s="277"/>
      <c r="K124" s="286"/>
      <c r="L124" s="196"/>
      <c r="M124" s="267"/>
      <c r="N124" s="438"/>
      <c r="O124" s="267"/>
      <c r="P124" s="267"/>
    </row>
    <row r="125" spans="1:16" s="283" customFormat="1" ht="20.100000000000001" customHeight="1">
      <c r="A125" s="296"/>
      <c r="B125" s="509" t="s">
        <v>269</v>
      </c>
      <c r="C125" s="474">
        <v>3</v>
      </c>
      <c r="D125" s="383" t="s">
        <v>128</v>
      </c>
      <c r="E125" s="384">
        <v>225</v>
      </c>
      <c r="F125" s="385">
        <f>SUM(C125*E125)</f>
        <v>675</v>
      </c>
      <c r="G125" s="537" t="s">
        <v>124</v>
      </c>
      <c r="H125" s="538" t="s">
        <v>124</v>
      </c>
      <c r="I125" s="376">
        <f>SUM(F125)</f>
        <v>675</v>
      </c>
      <c r="J125" s="277"/>
      <c r="K125" s="286"/>
      <c r="L125" s="196"/>
      <c r="M125" s="267"/>
      <c r="N125" s="267"/>
      <c r="O125" s="267"/>
      <c r="P125" s="267"/>
    </row>
    <row r="126" spans="1:16" ht="20.100000000000001" customHeight="1">
      <c r="A126" s="277"/>
      <c r="B126" s="509" t="s">
        <v>270</v>
      </c>
      <c r="C126" s="474">
        <v>3</v>
      </c>
      <c r="D126" s="383" t="s">
        <v>128</v>
      </c>
      <c r="E126" s="384">
        <v>280</v>
      </c>
      <c r="F126" s="385">
        <f>SUM(C126*E126)</f>
        <v>840</v>
      </c>
      <c r="G126" s="537" t="s">
        <v>124</v>
      </c>
      <c r="H126" s="538" t="s">
        <v>124</v>
      </c>
      <c r="I126" s="376">
        <f>SUM(F126)</f>
        <v>840</v>
      </c>
      <c r="J126" s="277"/>
      <c r="K126" s="286"/>
    </row>
    <row r="127" spans="1:16" ht="20.100000000000001" customHeight="1">
      <c r="A127" s="277"/>
      <c r="B127" s="473" t="s">
        <v>287</v>
      </c>
      <c r="C127" s="474"/>
      <c r="D127" s="383"/>
      <c r="E127" s="384"/>
      <c r="F127" s="385"/>
      <c r="G127" s="537"/>
      <c r="H127" s="538"/>
      <c r="I127" s="376"/>
      <c r="J127" s="277"/>
      <c r="K127" s="286"/>
    </row>
    <row r="128" spans="1:16" ht="20.100000000000001" customHeight="1">
      <c r="A128" s="277"/>
      <c r="B128" s="509" t="s">
        <v>389</v>
      </c>
      <c r="C128" s="474">
        <v>9500</v>
      </c>
      <c r="D128" s="383" t="s">
        <v>288</v>
      </c>
      <c r="E128" s="384">
        <v>6</v>
      </c>
      <c r="F128" s="385">
        <f t="shared" ref="F128:F131" si="10">C128*E128</f>
        <v>57000</v>
      </c>
      <c r="G128" s="511">
        <v>5</v>
      </c>
      <c r="H128" s="512">
        <f t="shared" ref="H128:H131" si="11">C128*G128</f>
        <v>47500</v>
      </c>
      <c r="I128" s="376">
        <f>SUM(F128+H128)</f>
        <v>104500</v>
      </c>
      <c r="J128" s="277"/>
      <c r="K128" s="286"/>
      <c r="M128" s="267" t="s">
        <v>9</v>
      </c>
    </row>
    <row r="129" spans="1:16" ht="20.100000000000001" customHeight="1">
      <c r="A129" s="277"/>
      <c r="B129" s="509" t="s">
        <v>390</v>
      </c>
      <c r="C129" s="474">
        <v>14000</v>
      </c>
      <c r="D129" s="383" t="s">
        <v>288</v>
      </c>
      <c r="E129" s="384">
        <v>8</v>
      </c>
      <c r="F129" s="385">
        <f t="shared" si="10"/>
        <v>112000</v>
      </c>
      <c r="G129" s="511">
        <v>7</v>
      </c>
      <c r="H129" s="512">
        <f t="shared" si="11"/>
        <v>98000</v>
      </c>
      <c r="I129" s="376">
        <f t="shared" ref="I129:I131" si="12">SUM(F129+H129)</f>
        <v>210000</v>
      </c>
      <c r="J129" s="277"/>
    </row>
    <row r="130" spans="1:16" ht="20.100000000000001" customHeight="1">
      <c r="A130" s="277"/>
      <c r="B130" s="509" t="s">
        <v>391</v>
      </c>
      <c r="C130" s="474">
        <v>5300</v>
      </c>
      <c r="D130" s="383" t="s">
        <v>288</v>
      </c>
      <c r="E130" s="384">
        <v>12</v>
      </c>
      <c r="F130" s="385">
        <f t="shared" si="10"/>
        <v>63600</v>
      </c>
      <c r="G130" s="511">
        <v>10</v>
      </c>
      <c r="H130" s="512">
        <f t="shared" si="11"/>
        <v>53000</v>
      </c>
      <c r="I130" s="376">
        <f t="shared" si="12"/>
        <v>116600</v>
      </c>
      <c r="J130" s="297"/>
      <c r="K130" s="286"/>
      <c r="M130" s="438"/>
    </row>
    <row r="131" spans="1:16" ht="20.100000000000001" customHeight="1">
      <c r="A131" s="296"/>
      <c r="B131" s="509" t="s">
        <v>392</v>
      </c>
      <c r="C131" s="474">
        <v>780</v>
      </c>
      <c r="D131" s="383" t="s">
        <v>288</v>
      </c>
      <c r="E131" s="384">
        <v>20</v>
      </c>
      <c r="F131" s="385">
        <f t="shared" si="10"/>
        <v>15600</v>
      </c>
      <c r="G131" s="511">
        <v>12</v>
      </c>
      <c r="H131" s="512">
        <f t="shared" si="11"/>
        <v>9360</v>
      </c>
      <c r="I131" s="376">
        <f t="shared" si="12"/>
        <v>24960</v>
      </c>
      <c r="J131" s="277"/>
      <c r="K131" s="286"/>
      <c r="L131" s="284"/>
      <c r="M131" s="283"/>
      <c r="N131" s="283"/>
      <c r="O131" s="283"/>
      <c r="P131" s="283"/>
    </row>
    <row r="132" spans="1:16" ht="20.100000000000001" customHeight="1">
      <c r="A132" s="300"/>
      <c r="B132" s="279"/>
      <c r="C132" s="299"/>
      <c r="D132" s="274"/>
      <c r="E132" s="281"/>
      <c r="F132" s="281"/>
      <c r="G132" s="301"/>
      <c r="H132" s="281"/>
      <c r="I132" s="282"/>
      <c r="J132" s="277"/>
      <c r="K132" s="283"/>
      <c r="L132" s="284"/>
      <c r="M132" s="283"/>
      <c r="N132" s="283"/>
      <c r="O132" s="283"/>
      <c r="P132" s="283"/>
    </row>
    <row r="133" spans="1:16" ht="20.100000000000001" customHeight="1">
      <c r="A133" s="460"/>
      <c r="B133" s="288" t="s">
        <v>18</v>
      </c>
      <c r="C133" s="285"/>
      <c r="D133" s="274"/>
      <c r="E133" s="289"/>
      <c r="F133" s="290">
        <f>SUM(F114:F132)</f>
        <v>272470</v>
      </c>
      <c r="G133" s="291"/>
      <c r="H133" s="290">
        <f>SUM(H114:H131)</f>
        <v>208860</v>
      </c>
      <c r="I133" s="276"/>
      <c r="J133" s="277"/>
      <c r="K133" s="283"/>
      <c r="L133" s="284"/>
      <c r="M133" s="283"/>
      <c r="N133" s="283"/>
      <c r="O133" s="283"/>
      <c r="P133" s="283"/>
    </row>
    <row r="134" spans="1:16" ht="24" customHeight="1">
      <c r="A134" s="460"/>
      <c r="B134" s="278" t="s">
        <v>86</v>
      </c>
      <c r="C134" s="285"/>
      <c r="D134" s="274"/>
      <c r="E134" s="289"/>
      <c r="F134" s="281"/>
      <c r="G134" s="291"/>
      <c r="H134" s="292"/>
      <c r="I134" s="423">
        <f>SUM(I114:I132)</f>
        <v>481330</v>
      </c>
      <c r="J134" s="277"/>
    </row>
    <row r="135" spans="1:16" ht="20.100000000000001" customHeight="1">
      <c r="A135" s="278"/>
      <c r="B135" s="415" t="s">
        <v>349</v>
      </c>
      <c r="C135" s="274"/>
      <c r="D135" s="274"/>
      <c r="E135" s="380"/>
      <c r="F135" s="380"/>
      <c r="G135" s="380"/>
      <c r="H135" s="380"/>
      <c r="I135" s="332"/>
      <c r="J135" s="277"/>
      <c r="K135" s="283"/>
      <c r="L135" s="284"/>
      <c r="M135" s="283" t="s">
        <v>9</v>
      </c>
      <c r="N135" s="283" t="s">
        <v>9</v>
      </c>
      <c r="O135" s="283"/>
      <c r="P135" s="283"/>
    </row>
    <row r="136" spans="1:16" ht="20.100000000000001" customHeight="1">
      <c r="A136" s="278"/>
      <c r="B136" s="473" t="s">
        <v>393</v>
      </c>
      <c r="C136" s="474"/>
      <c r="D136" s="383"/>
      <c r="E136" s="384"/>
      <c r="F136" s="385"/>
      <c r="G136" s="384"/>
      <c r="H136" s="512"/>
      <c r="I136" s="540"/>
      <c r="J136" s="277"/>
    </row>
    <row r="137" spans="1:16" s="283" customFormat="1" ht="20.100000000000001" customHeight="1">
      <c r="A137" s="278"/>
      <c r="B137" s="509" t="s">
        <v>394</v>
      </c>
      <c r="C137" s="474">
        <v>2500</v>
      </c>
      <c r="D137" s="383" t="s">
        <v>288</v>
      </c>
      <c r="E137" s="384">
        <v>35</v>
      </c>
      <c r="F137" s="385">
        <f t="shared" ref="F137:F142" si="13">C137*E137</f>
        <v>87500</v>
      </c>
      <c r="G137" s="511">
        <v>16</v>
      </c>
      <c r="H137" s="512">
        <f t="shared" ref="H137:H142" si="14">C137*G137</f>
        <v>40000</v>
      </c>
      <c r="I137" s="376">
        <f t="shared" ref="I137:I142" si="15">SUM(F137+H137)</f>
        <v>127500</v>
      </c>
      <c r="J137" s="277"/>
      <c r="K137" s="267"/>
      <c r="L137" s="196"/>
      <c r="M137" s="267"/>
      <c r="N137" s="267"/>
      <c r="O137" s="267"/>
      <c r="P137" s="267"/>
    </row>
    <row r="138" spans="1:16" s="283" customFormat="1" ht="20.100000000000001" customHeight="1">
      <c r="A138" s="278"/>
      <c r="B138" s="509" t="s">
        <v>395</v>
      </c>
      <c r="C138" s="474">
        <v>5000</v>
      </c>
      <c r="D138" s="383" t="s">
        <v>288</v>
      </c>
      <c r="E138" s="384">
        <v>55</v>
      </c>
      <c r="F138" s="385">
        <f t="shared" si="13"/>
        <v>275000</v>
      </c>
      <c r="G138" s="511">
        <v>20</v>
      </c>
      <c r="H138" s="512">
        <f t="shared" si="14"/>
        <v>100000</v>
      </c>
      <c r="I138" s="376">
        <f t="shared" si="15"/>
        <v>375000</v>
      </c>
      <c r="J138" s="277"/>
      <c r="K138" s="267"/>
      <c r="L138" s="196"/>
      <c r="M138" s="267"/>
      <c r="N138" s="267"/>
      <c r="O138" s="267"/>
      <c r="P138" s="267"/>
    </row>
    <row r="139" spans="1:16" s="283" customFormat="1" ht="20.100000000000001" customHeight="1">
      <c r="A139" s="278"/>
      <c r="B139" s="509" t="s">
        <v>396</v>
      </c>
      <c r="C139" s="474">
        <v>50</v>
      </c>
      <c r="D139" s="383" t="s">
        <v>288</v>
      </c>
      <c r="E139" s="384">
        <v>86</v>
      </c>
      <c r="F139" s="385">
        <f t="shared" si="13"/>
        <v>4300</v>
      </c>
      <c r="G139" s="511">
        <v>25</v>
      </c>
      <c r="H139" s="512">
        <f t="shared" si="14"/>
        <v>1250</v>
      </c>
      <c r="I139" s="376">
        <f t="shared" si="15"/>
        <v>5550</v>
      </c>
      <c r="J139" s="277"/>
      <c r="K139" s="267"/>
      <c r="L139" s="196"/>
      <c r="M139" s="267"/>
      <c r="N139" s="267"/>
      <c r="O139" s="267"/>
      <c r="P139" s="267"/>
    </row>
    <row r="140" spans="1:16" ht="20.100000000000001" customHeight="1">
      <c r="A140" s="278"/>
      <c r="B140" s="541" t="s">
        <v>397</v>
      </c>
      <c r="C140" s="474">
        <v>66</v>
      </c>
      <c r="D140" s="383" t="s">
        <v>288</v>
      </c>
      <c r="E140" s="384">
        <v>65</v>
      </c>
      <c r="F140" s="385">
        <f t="shared" si="13"/>
        <v>4290</v>
      </c>
      <c r="G140" s="511">
        <v>25</v>
      </c>
      <c r="H140" s="512">
        <f t="shared" si="14"/>
        <v>1650</v>
      </c>
      <c r="I140" s="376">
        <f t="shared" si="15"/>
        <v>5940</v>
      </c>
      <c r="J140" s="277"/>
      <c r="M140" s="438"/>
      <c r="N140" s="438"/>
    </row>
    <row r="141" spans="1:16" s="283" customFormat="1" ht="20.100000000000001" customHeight="1">
      <c r="A141" s="278"/>
      <c r="B141" s="541" t="s">
        <v>398</v>
      </c>
      <c r="C141" s="474">
        <v>18</v>
      </c>
      <c r="D141" s="383" t="s">
        <v>288</v>
      </c>
      <c r="E141" s="384">
        <v>136</v>
      </c>
      <c r="F141" s="385">
        <f t="shared" si="13"/>
        <v>2448</v>
      </c>
      <c r="G141" s="511">
        <v>40</v>
      </c>
      <c r="H141" s="512">
        <f t="shared" si="14"/>
        <v>720</v>
      </c>
      <c r="I141" s="376">
        <f t="shared" si="15"/>
        <v>3168</v>
      </c>
      <c r="J141" s="277"/>
      <c r="K141" s="267"/>
      <c r="L141" s="424"/>
      <c r="M141" s="267"/>
      <c r="N141" s="267"/>
      <c r="O141" s="267"/>
      <c r="P141" s="267"/>
    </row>
    <row r="142" spans="1:16" ht="20.100000000000001" customHeight="1">
      <c r="A142" s="278"/>
      <c r="B142" s="541" t="s">
        <v>399</v>
      </c>
      <c r="C142" s="474">
        <v>200</v>
      </c>
      <c r="D142" s="383" t="s">
        <v>288</v>
      </c>
      <c r="E142" s="384">
        <v>362</v>
      </c>
      <c r="F142" s="385">
        <f t="shared" si="13"/>
        <v>72400</v>
      </c>
      <c r="G142" s="511">
        <v>55</v>
      </c>
      <c r="H142" s="512">
        <f t="shared" si="14"/>
        <v>11000</v>
      </c>
      <c r="I142" s="376">
        <f t="shared" si="15"/>
        <v>83400</v>
      </c>
      <c r="J142" s="277"/>
    </row>
    <row r="143" spans="1:16" ht="20.100000000000001" customHeight="1">
      <c r="A143" s="278"/>
      <c r="B143" s="473" t="s">
        <v>400</v>
      </c>
      <c r="C143" s="536"/>
      <c r="D143" s="383"/>
      <c r="E143" s="384"/>
      <c r="F143" s="385"/>
      <c r="G143" s="537"/>
      <c r="H143" s="538"/>
      <c r="I143" s="376"/>
      <c r="J143" s="277"/>
      <c r="K143" s="286"/>
    </row>
    <row r="144" spans="1:16" ht="20.100000000000001" customHeight="1">
      <c r="A144" s="278"/>
      <c r="B144" s="509" t="s">
        <v>401</v>
      </c>
      <c r="C144" s="536">
        <v>5000</v>
      </c>
      <c r="D144" s="383" t="s">
        <v>127</v>
      </c>
      <c r="E144" s="384">
        <v>76</v>
      </c>
      <c r="F144" s="385">
        <f>C144*E144</f>
        <v>380000</v>
      </c>
      <c r="G144" s="511">
        <v>66</v>
      </c>
      <c r="H144" s="512">
        <f>C144*G144</f>
        <v>330000</v>
      </c>
      <c r="I144" s="376">
        <f>SUM(F144+H144)</f>
        <v>710000</v>
      </c>
      <c r="J144" s="277"/>
      <c r="K144" s="286"/>
    </row>
    <row r="145" spans="1:17" ht="20.100000000000001" customHeight="1">
      <c r="A145" s="278"/>
      <c r="B145" s="509" t="s">
        <v>402</v>
      </c>
      <c r="C145" s="536">
        <v>59</v>
      </c>
      <c r="D145" s="383" t="s">
        <v>127</v>
      </c>
      <c r="E145" s="384">
        <v>110</v>
      </c>
      <c r="F145" s="385">
        <f>C145*E145</f>
        <v>6490</v>
      </c>
      <c r="G145" s="511">
        <v>72</v>
      </c>
      <c r="H145" s="512">
        <f>C145*G145</f>
        <v>4248</v>
      </c>
      <c r="I145" s="376">
        <f>SUM(F145+H145)</f>
        <v>10738</v>
      </c>
      <c r="J145" s="277"/>
      <c r="K145" s="286"/>
    </row>
    <row r="146" spans="1:17" ht="20.100000000000001" customHeight="1">
      <c r="A146" s="278"/>
      <c r="B146" s="509" t="s">
        <v>403</v>
      </c>
      <c r="C146" s="536">
        <v>77</v>
      </c>
      <c r="D146" s="383" t="s">
        <v>127</v>
      </c>
      <c r="E146" s="384">
        <v>291</v>
      </c>
      <c r="F146" s="385">
        <f t="shared" ref="F146:F153" si="16">C146*E146</f>
        <v>22407</v>
      </c>
      <c r="G146" s="511">
        <v>96</v>
      </c>
      <c r="H146" s="512">
        <f t="shared" ref="H146:H152" si="17">C146*G146</f>
        <v>7392</v>
      </c>
      <c r="I146" s="376">
        <f t="shared" ref="I146:I152" si="18">SUM(F146+H146)</f>
        <v>29799</v>
      </c>
      <c r="J146" s="277"/>
      <c r="K146" s="286"/>
      <c r="M146" s="438"/>
      <c r="N146" s="438"/>
    </row>
    <row r="147" spans="1:17" ht="20.100000000000001" customHeight="1">
      <c r="A147" s="278"/>
      <c r="B147" s="509" t="s">
        <v>404</v>
      </c>
      <c r="C147" s="536">
        <v>5</v>
      </c>
      <c r="D147" s="383" t="s">
        <v>127</v>
      </c>
      <c r="E147" s="384">
        <v>461</v>
      </c>
      <c r="F147" s="385">
        <f t="shared" si="16"/>
        <v>2305</v>
      </c>
      <c r="G147" s="511">
        <v>126</v>
      </c>
      <c r="H147" s="512">
        <f t="shared" si="17"/>
        <v>630</v>
      </c>
      <c r="I147" s="376">
        <f t="shared" si="18"/>
        <v>2935</v>
      </c>
      <c r="J147" s="277"/>
      <c r="K147" s="286"/>
    </row>
    <row r="148" spans="1:17" ht="20.100000000000001" customHeight="1">
      <c r="A148" s="278"/>
      <c r="B148" s="509" t="s">
        <v>405</v>
      </c>
      <c r="C148" s="536">
        <v>3</v>
      </c>
      <c r="D148" s="383" t="s">
        <v>127</v>
      </c>
      <c r="E148" s="384">
        <v>630</v>
      </c>
      <c r="F148" s="385">
        <f t="shared" si="16"/>
        <v>1890</v>
      </c>
      <c r="G148" s="511">
        <v>144</v>
      </c>
      <c r="H148" s="512">
        <f t="shared" si="17"/>
        <v>432</v>
      </c>
      <c r="I148" s="376">
        <f t="shared" si="18"/>
        <v>2322</v>
      </c>
      <c r="J148" s="277"/>
      <c r="K148" s="286"/>
    </row>
    <row r="149" spans="1:17" ht="20.100000000000001" customHeight="1">
      <c r="A149" s="278"/>
      <c r="B149" s="509" t="s">
        <v>406</v>
      </c>
      <c r="C149" s="536">
        <v>200</v>
      </c>
      <c r="D149" s="383" t="s">
        <v>288</v>
      </c>
      <c r="E149" s="384">
        <v>613</v>
      </c>
      <c r="F149" s="385">
        <f t="shared" si="16"/>
        <v>122600</v>
      </c>
      <c r="G149" s="511">
        <v>40</v>
      </c>
      <c r="H149" s="512">
        <f t="shared" si="17"/>
        <v>8000</v>
      </c>
      <c r="I149" s="376">
        <f t="shared" si="18"/>
        <v>130600</v>
      </c>
      <c r="J149" s="277"/>
      <c r="K149" s="286"/>
    </row>
    <row r="150" spans="1:17" ht="20.100000000000001" customHeight="1">
      <c r="A150" s="278"/>
      <c r="B150" s="509" t="s">
        <v>407</v>
      </c>
      <c r="C150" s="536">
        <v>5</v>
      </c>
      <c r="D150" s="383" t="s">
        <v>288</v>
      </c>
      <c r="E150" s="384">
        <v>689</v>
      </c>
      <c r="F150" s="385">
        <f t="shared" si="16"/>
        <v>3445</v>
      </c>
      <c r="G150" s="511">
        <v>45</v>
      </c>
      <c r="H150" s="512">
        <f t="shared" si="17"/>
        <v>225</v>
      </c>
      <c r="I150" s="376">
        <f t="shared" si="18"/>
        <v>3670</v>
      </c>
      <c r="J150" s="277"/>
      <c r="K150" s="286"/>
      <c r="N150" s="438"/>
    </row>
    <row r="151" spans="1:17" ht="20.100000000000001" customHeight="1">
      <c r="A151" s="278"/>
      <c r="B151" s="509" t="s">
        <v>408</v>
      </c>
      <c r="C151" s="536">
        <v>5</v>
      </c>
      <c r="D151" s="383" t="s">
        <v>288</v>
      </c>
      <c r="E151" s="384">
        <v>831</v>
      </c>
      <c r="F151" s="385">
        <f t="shared" si="16"/>
        <v>4155</v>
      </c>
      <c r="G151" s="511">
        <v>55</v>
      </c>
      <c r="H151" s="512">
        <f t="shared" si="17"/>
        <v>275</v>
      </c>
      <c r="I151" s="376">
        <f t="shared" si="18"/>
        <v>4430</v>
      </c>
      <c r="J151" s="277"/>
      <c r="K151" s="286"/>
      <c r="L151" s="424"/>
    </row>
    <row r="152" spans="1:17" ht="20.100000000000001" customHeight="1">
      <c r="A152" s="278"/>
      <c r="B152" s="509" t="s">
        <v>409</v>
      </c>
      <c r="C152" s="536">
        <v>9</v>
      </c>
      <c r="D152" s="383" t="s">
        <v>288</v>
      </c>
      <c r="E152" s="384">
        <v>1133</v>
      </c>
      <c r="F152" s="385">
        <f t="shared" si="16"/>
        <v>10197</v>
      </c>
      <c r="G152" s="511">
        <v>70</v>
      </c>
      <c r="H152" s="512">
        <f t="shared" si="17"/>
        <v>630</v>
      </c>
      <c r="I152" s="376">
        <f t="shared" si="18"/>
        <v>10827</v>
      </c>
      <c r="J152" s="277"/>
      <c r="K152" s="286"/>
      <c r="L152" s="284"/>
      <c r="M152" s="283"/>
      <c r="N152" s="283"/>
      <c r="O152" s="283"/>
      <c r="P152" s="283"/>
    </row>
    <row r="153" spans="1:17" ht="20.100000000000001" customHeight="1">
      <c r="A153" s="278"/>
      <c r="B153" s="509" t="s">
        <v>289</v>
      </c>
      <c r="C153" s="474">
        <v>1</v>
      </c>
      <c r="D153" s="383" t="s">
        <v>19</v>
      </c>
      <c r="E153" s="384">
        <v>173000</v>
      </c>
      <c r="F153" s="385">
        <f t="shared" si="16"/>
        <v>173000</v>
      </c>
      <c r="G153" s="537" t="s">
        <v>124</v>
      </c>
      <c r="H153" s="538" t="s">
        <v>124</v>
      </c>
      <c r="I153" s="376">
        <f>SUM(F153)</f>
        <v>173000</v>
      </c>
      <c r="J153" s="277"/>
      <c r="K153" s="283"/>
      <c r="L153" s="284"/>
      <c r="M153" s="283"/>
      <c r="N153" s="283"/>
      <c r="O153" s="283"/>
      <c r="P153" s="283"/>
    </row>
    <row r="154" spans="1:17" ht="20.100000000000001" customHeight="1">
      <c r="A154" s="460"/>
      <c r="B154" s="288" t="s">
        <v>18</v>
      </c>
      <c r="C154" s="285"/>
      <c r="D154" s="274"/>
      <c r="E154" s="289"/>
      <c r="F154" s="290">
        <f>SUM(F136:F153)</f>
        <v>1172427</v>
      </c>
      <c r="G154" s="291"/>
      <c r="H154" s="290">
        <f>SUM(H136:H153)</f>
        <v>506452</v>
      </c>
      <c r="I154" s="276"/>
      <c r="J154" s="277"/>
      <c r="K154" s="283"/>
      <c r="L154" s="284"/>
      <c r="M154" s="283"/>
      <c r="N154" s="283"/>
      <c r="O154" s="283"/>
      <c r="P154" s="283"/>
    </row>
    <row r="155" spans="1:17" ht="21.75" customHeight="1">
      <c r="A155" s="460"/>
      <c r="B155" s="278" t="s">
        <v>86</v>
      </c>
      <c r="C155" s="285"/>
      <c r="D155" s="274"/>
      <c r="E155" s="289"/>
      <c r="F155" s="281"/>
      <c r="G155" s="291"/>
      <c r="H155" s="292"/>
      <c r="I155" s="423">
        <f>SUM(I135:I153)</f>
        <v>1678879</v>
      </c>
      <c r="J155" s="277"/>
      <c r="K155" s="283"/>
      <c r="L155" s="284"/>
      <c r="M155" s="283"/>
      <c r="N155" s="283" t="s">
        <v>9</v>
      </c>
      <c r="O155" s="283"/>
      <c r="P155" s="283"/>
    </row>
    <row r="156" spans="1:17" ht="20.100000000000001" customHeight="1">
      <c r="A156" s="278"/>
      <c r="B156" s="415" t="s">
        <v>349</v>
      </c>
      <c r="C156" s="274"/>
      <c r="D156" s="274"/>
      <c r="E156" s="375"/>
      <c r="F156" s="375"/>
      <c r="G156" s="375"/>
      <c r="H156" s="375"/>
      <c r="I156" s="332"/>
      <c r="J156" s="277"/>
      <c r="Q156" s="438">
        <f>SUM(M140+N146+N150)</f>
        <v>0</v>
      </c>
    </row>
    <row r="157" spans="1:17" ht="20.100000000000001" customHeight="1">
      <c r="A157" s="278"/>
      <c r="B157" s="473" t="s">
        <v>410</v>
      </c>
      <c r="C157" s="299"/>
      <c r="D157" s="274"/>
      <c r="E157" s="330"/>
      <c r="F157" s="375"/>
      <c r="G157" s="381"/>
      <c r="H157" s="375"/>
      <c r="I157" s="337"/>
      <c r="J157" s="277"/>
      <c r="K157" s="283"/>
      <c r="L157" s="284"/>
      <c r="M157" s="283"/>
      <c r="N157" s="283"/>
      <c r="O157" s="283"/>
      <c r="P157" s="283"/>
    </row>
    <row r="158" spans="1:17" s="283" customFormat="1" ht="20.100000000000001" customHeight="1">
      <c r="A158" s="278"/>
      <c r="B158" s="473" t="s">
        <v>411</v>
      </c>
      <c r="C158" s="474"/>
      <c r="D158" s="383"/>
      <c r="E158" s="385"/>
      <c r="F158" s="384"/>
      <c r="G158" s="476"/>
      <c r="H158" s="476"/>
      <c r="I158" s="376"/>
      <c r="J158" s="277"/>
      <c r="L158" s="284"/>
    </row>
    <row r="159" spans="1:17" s="283" customFormat="1" ht="20.100000000000001" customHeight="1">
      <c r="A159" s="278"/>
      <c r="B159" s="542" t="s">
        <v>412</v>
      </c>
      <c r="C159" s="474">
        <v>128</v>
      </c>
      <c r="D159" s="440" t="s">
        <v>128</v>
      </c>
      <c r="E159" s="384">
        <v>200</v>
      </c>
      <c r="F159" s="385">
        <f>SUM(C159*E159)</f>
        <v>25600</v>
      </c>
      <c r="G159" s="384">
        <v>90</v>
      </c>
      <c r="H159" s="384">
        <f>SUM(C159*G159)</f>
        <v>11520</v>
      </c>
      <c r="I159" s="376">
        <f>SUM(F159+H159)</f>
        <v>37120</v>
      </c>
      <c r="J159" s="277"/>
      <c r="K159" s="286"/>
      <c r="L159" s="196"/>
      <c r="M159" s="267"/>
      <c r="N159" s="267"/>
      <c r="O159" s="267"/>
      <c r="P159" s="267"/>
    </row>
    <row r="160" spans="1:17" s="283" customFormat="1" ht="20.100000000000001" customHeight="1">
      <c r="A160" s="278"/>
      <c r="B160" s="542" t="s">
        <v>413</v>
      </c>
      <c r="C160" s="474">
        <v>64</v>
      </c>
      <c r="D160" s="440" t="s">
        <v>128</v>
      </c>
      <c r="E160" s="384">
        <v>320</v>
      </c>
      <c r="F160" s="385">
        <f>SUM(C160*E160)</f>
        <v>20480</v>
      </c>
      <c r="G160" s="384">
        <v>80</v>
      </c>
      <c r="H160" s="384">
        <f>SUM(C160*G160)</f>
        <v>5120</v>
      </c>
      <c r="I160" s="376">
        <f>SUM(F160+H160)</f>
        <v>25600</v>
      </c>
      <c r="J160" s="277"/>
      <c r="K160" s="286"/>
      <c r="L160" s="196"/>
      <c r="M160" s="267"/>
      <c r="N160" s="267"/>
      <c r="O160" s="267"/>
      <c r="P160" s="267"/>
    </row>
    <row r="161" spans="1:16" s="283" customFormat="1" ht="20.100000000000001" customHeight="1">
      <c r="A161" s="460"/>
      <c r="B161" s="542" t="s">
        <v>414</v>
      </c>
      <c r="C161" s="440">
        <v>1020</v>
      </c>
      <c r="D161" s="383" t="s">
        <v>130</v>
      </c>
      <c r="E161" s="384">
        <v>34</v>
      </c>
      <c r="F161" s="385">
        <f>SUM(C161*E161)</f>
        <v>34680</v>
      </c>
      <c r="G161" s="384">
        <v>10</v>
      </c>
      <c r="H161" s="384">
        <f>SUM(C161*G161)</f>
        <v>10200</v>
      </c>
      <c r="I161" s="376">
        <f>SUM(F161+H161)</f>
        <v>44880</v>
      </c>
      <c r="J161" s="277"/>
      <c r="K161" s="286"/>
      <c r="L161" s="196"/>
      <c r="M161" s="267"/>
      <c r="N161" s="438"/>
      <c r="O161" s="267"/>
      <c r="P161" s="267"/>
    </row>
    <row r="162" spans="1:16" ht="20.100000000000001" customHeight="1">
      <c r="A162" s="460"/>
      <c r="B162" s="387" t="s">
        <v>415</v>
      </c>
      <c r="C162" s="474">
        <v>340</v>
      </c>
      <c r="D162" s="383" t="s">
        <v>127</v>
      </c>
      <c r="E162" s="385">
        <v>110</v>
      </c>
      <c r="F162" s="384">
        <f>SUM(C162*E162)</f>
        <v>37400</v>
      </c>
      <c r="G162" s="384">
        <v>72</v>
      </c>
      <c r="H162" s="384">
        <f>SUM(C162*G162)</f>
        <v>24480</v>
      </c>
      <c r="I162" s="376">
        <f>SUM(F162+H162)</f>
        <v>61880</v>
      </c>
      <c r="J162" s="277"/>
      <c r="K162" s="286"/>
    </row>
    <row r="163" spans="1:16" s="283" customFormat="1" ht="20.100000000000001" customHeight="1">
      <c r="A163" s="460"/>
      <c r="B163" s="387" t="s">
        <v>416</v>
      </c>
      <c r="C163" s="474">
        <v>1</v>
      </c>
      <c r="D163" s="383" t="s">
        <v>19</v>
      </c>
      <c r="E163" s="385">
        <v>15000</v>
      </c>
      <c r="F163" s="384">
        <f>SUM(C163*E163)</f>
        <v>15000</v>
      </c>
      <c r="G163" s="476" t="s">
        <v>124</v>
      </c>
      <c r="H163" s="476" t="s">
        <v>124</v>
      </c>
      <c r="I163" s="376">
        <f>SUM(F163)</f>
        <v>15000</v>
      </c>
      <c r="J163" s="277"/>
      <c r="K163" s="286"/>
      <c r="L163" s="196"/>
      <c r="M163" s="267"/>
      <c r="N163" s="267"/>
      <c r="O163" s="267"/>
      <c r="P163" s="267"/>
    </row>
    <row r="164" spans="1:16" s="283" customFormat="1" ht="20.100000000000001" customHeight="1">
      <c r="A164" s="460"/>
      <c r="B164" s="415" t="s">
        <v>417</v>
      </c>
      <c r="C164" s="274"/>
      <c r="D164" s="274"/>
      <c r="E164" s="375"/>
      <c r="F164" s="375"/>
      <c r="G164" s="375"/>
      <c r="H164" s="375"/>
      <c r="I164" s="337"/>
      <c r="J164" s="277"/>
      <c r="K164" s="286"/>
      <c r="L164" s="196"/>
      <c r="M164" s="267"/>
      <c r="N164" s="267"/>
      <c r="O164" s="267"/>
      <c r="P164" s="267"/>
    </row>
    <row r="165" spans="1:16" ht="20.100000000000001" customHeight="1">
      <c r="A165" s="460"/>
      <c r="B165" s="509" t="s">
        <v>290</v>
      </c>
      <c r="C165" s="474">
        <v>1</v>
      </c>
      <c r="D165" s="383" t="s">
        <v>128</v>
      </c>
      <c r="E165" s="384">
        <v>24500</v>
      </c>
      <c r="F165" s="385">
        <f t="shared" ref="F165:F174" si="19">C165*E165</f>
        <v>24500</v>
      </c>
      <c r="G165" s="511">
        <v>7000</v>
      </c>
      <c r="H165" s="512">
        <f>C165*G165</f>
        <v>7000</v>
      </c>
      <c r="I165" s="376">
        <f>SUM(F165+H165)</f>
        <v>31500</v>
      </c>
      <c r="J165" s="277"/>
      <c r="K165" s="286"/>
    </row>
    <row r="166" spans="1:16" ht="20.100000000000001" customHeight="1">
      <c r="A166" s="460"/>
      <c r="B166" s="509" t="s">
        <v>291</v>
      </c>
      <c r="C166" s="474">
        <v>1</v>
      </c>
      <c r="D166" s="383" t="s">
        <v>128</v>
      </c>
      <c r="E166" s="384">
        <v>8750</v>
      </c>
      <c r="F166" s="385">
        <f t="shared" si="19"/>
        <v>8750</v>
      </c>
      <c r="G166" s="511">
        <v>2000</v>
      </c>
      <c r="H166" s="512">
        <f>C166*G166</f>
        <v>2000</v>
      </c>
      <c r="I166" s="376">
        <f>SUM(F166+H166)</f>
        <v>10750</v>
      </c>
      <c r="J166" s="277"/>
      <c r="K166" s="286"/>
    </row>
    <row r="167" spans="1:16" ht="20.100000000000001" customHeight="1">
      <c r="A167" s="460"/>
      <c r="B167" s="509" t="s">
        <v>292</v>
      </c>
      <c r="C167" s="474">
        <v>132</v>
      </c>
      <c r="D167" s="383" t="s">
        <v>128</v>
      </c>
      <c r="E167" s="384">
        <v>1300</v>
      </c>
      <c r="F167" s="385">
        <f t="shared" si="19"/>
        <v>171600</v>
      </c>
      <c r="G167" s="511">
        <v>150</v>
      </c>
      <c r="H167" s="512">
        <f>C167*G167</f>
        <v>19800</v>
      </c>
      <c r="I167" s="376">
        <f>SUM(F167+H167)</f>
        <v>191400</v>
      </c>
      <c r="J167" s="277"/>
      <c r="K167" s="286"/>
    </row>
    <row r="168" spans="1:16" ht="20.100000000000001" customHeight="1">
      <c r="A168" s="460"/>
      <c r="B168" s="509" t="s">
        <v>293</v>
      </c>
      <c r="C168" s="474">
        <v>18</v>
      </c>
      <c r="D168" s="383" t="s">
        <v>128</v>
      </c>
      <c r="E168" s="384">
        <v>980</v>
      </c>
      <c r="F168" s="385">
        <f t="shared" si="19"/>
        <v>17640</v>
      </c>
      <c r="G168" s="511">
        <v>200</v>
      </c>
      <c r="H168" s="512">
        <f>C168*G168</f>
        <v>3600</v>
      </c>
      <c r="I168" s="376">
        <f>SUM(F168+H168)</f>
        <v>21240</v>
      </c>
      <c r="J168" s="277"/>
      <c r="K168" s="286"/>
      <c r="L168" s="424"/>
      <c r="M168" s="267" t="s">
        <v>9</v>
      </c>
    </row>
    <row r="169" spans="1:16" ht="20.100000000000001" customHeight="1">
      <c r="A169" s="460"/>
      <c r="B169" s="509" t="s">
        <v>294</v>
      </c>
      <c r="C169" s="474">
        <v>18</v>
      </c>
      <c r="D169" s="383" t="s">
        <v>128</v>
      </c>
      <c r="E169" s="384">
        <v>767</v>
      </c>
      <c r="F169" s="385">
        <f t="shared" si="19"/>
        <v>13806</v>
      </c>
      <c r="G169" s="511">
        <v>150</v>
      </c>
      <c r="H169" s="512">
        <f>C169*G169</f>
        <v>2700</v>
      </c>
      <c r="I169" s="376">
        <f>SUM(F169+H169)</f>
        <v>16506</v>
      </c>
      <c r="J169" s="277"/>
      <c r="K169" s="286"/>
    </row>
    <row r="170" spans="1:16" ht="20.100000000000001" customHeight="1">
      <c r="A170" s="296"/>
      <c r="B170" s="509" t="s">
        <v>418</v>
      </c>
      <c r="C170" s="474">
        <v>9</v>
      </c>
      <c r="D170" s="383" t="s">
        <v>128</v>
      </c>
      <c r="E170" s="384">
        <v>250</v>
      </c>
      <c r="F170" s="385">
        <f t="shared" si="19"/>
        <v>2250</v>
      </c>
      <c r="G170" s="537" t="s">
        <v>124</v>
      </c>
      <c r="H170" s="537" t="s">
        <v>124</v>
      </c>
      <c r="I170" s="376">
        <f>SUM(F170)</f>
        <v>2250</v>
      </c>
      <c r="J170" s="277"/>
      <c r="K170" s="286"/>
    </row>
    <row r="171" spans="1:16" ht="20.100000000000001" customHeight="1">
      <c r="A171" s="277"/>
      <c r="B171" s="509" t="s">
        <v>389</v>
      </c>
      <c r="C171" s="474">
        <v>2990</v>
      </c>
      <c r="D171" s="383" t="s">
        <v>288</v>
      </c>
      <c r="E171" s="384">
        <v>6</v>
      </c>
      <c r="F171" s="385">
        <f t="shared" si="19"/>
        <v>17940</v>
      </c>
      <c r="G171" s="511">
        <v>5</v>
      </c>
      <c r="H171" s="512">
        <f>C171*G171</f>
        <v>14950</v>
      </c>
      <c r="I171" s="376">
        <f>SUM(F171+H171)</f>
        <v>32890</v>
      </c>
      <c r="J171" s="277"/>
    </row>
    <row r="172" spans="1:16" ht="20.100000000000001" customHeight="1">
      <c r="A172" s="277"/>
      <c r="B172" s="509" t="s">
        <v>419</v>
      </c>
      <c r="C172" s="474">
        <v>1840</v>
      </c>
      <c r="D172" s="383" t="s">
        <v>288</v>
      </c>
      <c r="E172" s="384">
        <v>48</v>
      </c>
      <c r="F172" s="385">
        <f t="shared" si="19"/>
        <v>88320</v>
      </c>
      <c r="G172" s="511">
        <v>11</v>
      </c>
      <c r="H172" s="512">
        <f>C172*G172</f>
        <v>20240</v>
      </c>
      <c r="I172" s="376">
        <f>SUM(F172+H172)</f>
        <v>108560</v>
      </c>
      <c r="J172" s="297"/>
      <c r="K172" s="286"/>
      <c r="N172" s="438"/>
    </row>
    <row r="173" spans="1:16" ht="20.100000000000001" customHeight="1">
      <c r="A173" s="296"/>
      <c r="B173" s="509" t="s">
        <v>420</v>
      </c>
      <c r="C173" s="536">
        <v>770</v>
      </c>
      <c r="D173" s="383" t="s">
        <v>127</v>
      </c>
      <c r="E173" s="384">
        <v>76</v>
      </c>
      <c r="F173" s="385">
        <f t="shared" si="19"/>
        <v>58520</v>
      </c>
      <c r="G173" s="511">
        <v>66</v>
      </c>
      <c r="H173" s="512">
        <f>C173*G173</f>
        <v>50820</v>
      </c>
      <c r="I173" s="376">
        <f>SUM(F173+H173)</f>
        <v>109340</v>
      </c>
      <c r="J173" s="277"/>
      <c r="K173" s="286"/>
      <c r="L173" s="284"/>
      <c r="M173" s="283"/>
      <c r="N173" s="283"/>
      <c r="O173" s="283"/>
      <c r="P173" s="283"/>
    </row>
    <row r="174" spans="1:16" ht="20.100000000000001" customHeight="1">
      <c r="A174" s="300"/>
      <c r="B174" s="509" t="s">
        <v>289</v>
      </c>
      <c r="C174" s="474">
        <v>1</v>
      </c>
      <c r="D174" s="383" t="s">
        <v>19</v>
      </c>
      <c r="E174" s="384">
        <v>40000</v>
      </c>
      <c r="F174" s="385">
        <f t="shared" si="19"/>
        <v>40000</v>
      </c>
      <c r="G174" s="537" t="s">
        <v>124</v>
      </c>
      <c r="H174" s="538" t="s">
        <v>124</v>
      </c>
      <c r="I174" s="376">
        <f>SUM(F174)</f>
        <v>40000</v>
      </c>
      <c r="J174" s="277"/>
      <c r="K174" s="283"/>
      <c r="L174" s="284"/>
      <c r="M174" s="283"/>
      <c r="N174" s="283"/>
      <c r="O174" s="283"/>
      <c r="P174" s="283"/>
    </row>
    <row r="175" spans="1:16" ht="20.100000000000001" customHeight="1">
      <c r="A175" s="460"/>
      <c r="B175" s="288" t="s">
        <v>18</v>
      </c>
      <c r="C175" s="285"/>
      <c r="D175" s="274"/>
      <c r="E175" s="289"/>
      <c r="F175" s="290">
        <f>SUM(F157:F174)</f>
        <v>576486</v>
      </c>
      <c r="G175" s="291"/>
      <c r="H175" s="290">
        <f>SUM(H157:H174)</f>
        <v>172430</v>
      </c>
      <c r="I175" s="276"/>
      <c r="J175" s="277"/>
      <c r="K175" s="283"/>
      <c r="L175" s="284"/>
      <c r="M175" s="283"/>
      <c r="N175" s="283"/>
      <c r="O175" s="283"/>
      <c r="P175" s="283"/>
    </row>
    <row r="176" spans="1:16" ht="24" customHeight="1">
      <c r="A176" s="460"/>
      <c r="B176" s="278" t="s">
        <v>86</v>
      </c>
      <c r="C176" s="285"/>
      <c r="D176" s="274"/>
      <c r="E176" s="289"/>
      <c r="F176" s="281"/>
      <c r="G176" s="291"/>
      <c r="H176" s="292"/>
      <c r="I176" s="423">
        <f>SUM(I157:I174)</f>
        <v>748916</v>
      </c>
      <c r="J176" s="277"/>
    </row>
    <row r="177" spans="1:16" ht="20.100000000000001" customHeight="1">
      <c r="A177" s="278"/>
      <c r="B177" s="640" t="s">
        <v>421</v>
      </c>
      <c r="C177" s="641"/>
      <c r="D177" s="642"/>
      <c r="E177" s="375"/>
      <c r="F177" s="375"/>
      <c r="G177" s="375"/>
      <c r="H177" s="375"/>
      <c r="I177" s="337"/>
      <c r="J177" s="277"/>
    </row>
    <row r="178" spans="1:16" ht="20.100000000000001" customHeight="1">
      <c r="A178" s="278"/>
      <c r="B178" s="387" t="s">
        <v>422</v>
      </c>
      <c r="C178" s="543">
        <v>52</v>
      </c>
      <c r="D178" s="383" t="s">
        <v>128</v>
      </c>
      <c r="E178" s="544">
        <v>670</v>
      </c>
      <c r="F178" s="545">
        <f>C178*E178</f>
        <v>34840</v>
      </c>
      <c r="G178" s="546" t="s">
        <v>124</v>
      </c>
      <c r="H178" s="547" t="s">
        <v>124</v>
      </c>
      <c r="I178" s="376">
        <f>SUM(F178)</f>
        <v>34840</v>
      </c>
      <c r="J178" s="277"/>
    </row>
    <row r="179" spans="1:16" s="283" customFormat="1" ht="20.100000000000001" customHeight="1">
      <c r="A179" s="278"/>
      <c r="B179" s="387" t="s">
        <v>423</v>
      </c>
      <c r="C179" s="543"/>
      <c r="D179" s="383"/>
      <c r="E179" s="544"/>
      <c r="F179" s="545"/>
      <c r="G179" s="546"/>
      <c r="H179" s="547"/>
      <c r="I179" s="376"/>
      <c r="J179" s="277"/>
      <c r="L179" s="284"/>
    </row>
    <row r="180" spans="1:16" s="283" customFormat="1" ht="20.100000000000001" customHeight="1">
      <c r="A180" s="278"/>
      <c r="B180" s="387" t="s">
        <v>424</v>
      </c>
      <c r="C180" s="543">
        <v>52</v>
      </c>
      <c r="D180" s="383" t="s">
        <v>128</v>
      </c>
      <c r="E180" s="544">
        <v>650</v>
      </c>
      <c r="F180" s="545">
        <f>C180*E180</f>
        <v>33800</v>
      </c>
      <c r="G180" s="546" t="s">
        <v>124</v>
      </c>
      <c r="H180" s="547" t="s">
        <v>124</v>
      </c>
      <c r="I180" s="376">
        <f>SUM(F180)</f>
        <v>33800</v>
      </c>
      <c r="J180" s="277"/>
      <c r="L180" s="284"/>
    </row>
    <row r="181" spans="1:16" s="283" customFormat="1" ht="20.100000000000001" customHeight="1">
      <c r="A181" s="278"/>
      <c r="B181" s="387" t="s">
        <v>425</v>
      </c>
      <c r="C181" s="543">
        <v>42</v>
      </c>
      <c r="D181" s="383" t="s">
        <v>128</v>
      </c>
      <c r="E181" s="544">
        <v>481</v>
      </c>
      <c r="F181" s="545">
        <f>C181*E181</f>
        <v>20202</v>
      </c>
      <c r="G181" s="546" t="s">
        <v>124</v>
      </c>
      <c r="H181" s="547" t="s">
        <v>124</v>
      </c>
      <c r="I181" s="376">
        <f>SUM(F181)</f>
        <v>20202</v>
      </c>
      <c r="J181" s="277"/>
      <c r="L181" s="284"/>
    </row>
    <row r="182" spans="1:16" ht="20.100000000000001" customHeight="1">
      <c r="A182" s="278"/>
      <c r="B182" s="387" t="s">
        <v>426</v>
      </c>
      <c r="C182" s="543">
        <v>208</v>
      </c>
      <c r="D182" s="383" t="s">
        <v>128</v>
      </c>
      <c r="E182" s="544">
        <v>20</v>
      </c>
      <c r="F182" s="545">
        <f>C182*E182</f>
        <v>4160</v>
      </c>
      <c r="G182" s="546" t="s">
        <v>124</v>
      </c>
      <c r="H182" s="547" t="s">
        <v>124</v>
      </c>
      <c r="I182" s="376">
        <f>SUM(F182)</f>
        <v>4160</v>
      </c>
      <c r="J182" s="277"/>
      <c r="K182" s="283"/>
      <c r="L182" s="284"/>
      <c r="M182" s="283"/>
      <c r="N182" s="283"/>
      <c r="O182" s="283"/>
      <c r="P182" s="283"/>
    </row>
    <row r="183" spans="1:16" ht="20.100000000000001" customHeight="1">
      <c r="A183" s="278"/>
      <c r="B183" s="387" t="s">
        <v>427</v>
      </c>
      <c r="C183" s="548">
        <v>208</v>
      </c>
      <c r="D183" s="383" t="s">
        <v>128</v>
      </c>
      <c r="E183" s="544">
        <v>10</v>
      </c>
      <c r="F183" s="544">
        <f t="shared" ref="F183:F189" si="20">SUM(C183*E183)</f>
        <v>2080</v>
      </c>
      <c r="G183" s="549" t="s">
        <v>124</v>
      </c>
      <c r="H183" s="549" t="s">
        <v>124</v>
      </c>
      <c r="I183" s="376">
        <f>SUM(F183)</f>
        <v>2080</v>
      </c>
      <c r="J183" s="277"/>
      <c r="K183" s="283"/>
      <c r="L183" s="284"/>
      <c r="M183" s="283"/>
      <c r="N183" s="283"/>
      <c r="O183" s="283"/>
      <c r="P183" s="283"/>
    </row>
    <row r="184" spans="1:16" ht="20.100000000000001" customHeight="1">
      <c r="A184" s="278"/>
      <c r="B184" s="387" t="s">
        <v>428</v>
      </c>
      <c r="C184" s="548">
        <v>280</v>
      </c>
      <c r="D184" s="383" t="s">
        <v>288</v>
      </c>
      <c r="E184" s="545">
        <v>240</v>
      </c>
      <c r="F184" s="544">
        <f t="shared" si="20"/>
        <v>67200</v>
      </c>
      <c r="G184" s="549" t="s">
        <v>124</v>
      </c>
      <c r="H184" s="549" t="s">
        <v>124</v>
      </c>
      <c r="I184" s="376">
        <f t="shared" ref="I184:I193" si="21">SUM(F184)</f>
        <v>67200</v>
      </c>
      <c r="J184" s="277"/>
    </row>
    <row r="185" spans="1:16" s="283" customFormat="1" ht="20.100000000000001" customHeight="1">
      <c r="A185" s="278"/>
      <c r="B185" s="387" t="s">
        <v>429</v>
      </c>
      <c r="C185" s="548">
        <v>280</v>
      </c>
      <c r="D185" s="383" t="s">
        <v>128</v>
      </c>
      <c r="E185" s="545">
        <v>52</v>
      </c>
      <c r="F185" s="544">
        <f t="shared" si="20"/>
        <v>14560</v>
      </c>
      <c r="G185" s="549" t="s">
        <v>124</v>
      </c>
      <c r="H185" s="549" t="s">
        <v>124</v>
      </c>
      <c r="I185" s="376">
        <f t="shared" si="21"/>
        <v>14560</v>
      </c>
      <c r="J185" s="277"/>
      <c r="K185" s="267"/>
      <c r="L185" s="424"/>
      <c r="M185" s="267"/>
      <c r="N185" s="267"/>
      <c r="O185" s="267"/>
      <c r="P185" s="267"/>
    </row>
    <row r="186" spans="1:16" s="283" customFormat="1" ht="20.100000000000001" customHeight="1">
      <c r="A186" s="278"/>
      <c r="B186" s="387" t="s">
        <v>426</v>
      </c>
      <c r="C186" s="548">
        <v>280</v>
      </c>
      <c r="D186" s="383" t="s">
        <v>128</v>
      </c>
      <c r="E186" s="545">
        <v>20</v>
      </c>
      <c r="F186" s="544">
        <f t="shared" si="20"/>
        <v>5600</v>
      </c>
      <c r="G186" s="549" t="s">
        <v>124</v>
      </c>
      <c r="H186" s="549" t="s">
        <v>124</v>
      </c>
      <c r="I186" s="376">
        <f t="shared" si="21"/>
        <v>5600</v>
      </c>
      <c r="J186" s="277"/>
      <c r="K186" s="299"/>
      <c r="L186" s="274"/>
      <c r="M186" s="267"/>
      <c r="N186" s="267"/>
      <c r="O186" s="267"/>
      <c r="P186" s="267"/>
    </row>
    <row r="187" spans="1:16" s="283" customFormat="1" ht="20.100000000000001" customHeight="1">
      <c r="A187" s="278"/>
      <c r="B187" s="387" t="s">
        <v>427</v>
      </c>
      <c r="C187" s="548">
        <v>280</v>
      </c>
      <c r="D187" s="383" t="s">
        <v>128</v>
      </c>
      <c r="E187" s="545">
        <v>10</v>
      </c>
      <c r="F187" s="544">
        <f t="shared" si="20"/>
        <v>2800</v>
      </c>
      <c r="G187" s="549" t="s">
        <v>124</v>
      </c>
      <c r="H187" s="549" t="s">
        <v>124</v>
      </c>
      <c r="I187" s="376">
        <f t="shared" si="21"/>
        <v>2800</v>
      </c>
      <c r="J187" s="277"/>
      <c r="K187" s="286"/>
      <c r="L187" s="196"/>
      <c r="M187" s="267"/>
      <c r="N187" s="267"/>
      <c r="O187" s="267"/>
      <c r="P187" s="267"/>
    </row>
    <row r="188" spans="1:16" s="283" customFormat="1" ht="20.100000000000001" customHeight="1">
      <c r="A188" s="278"/>
      <c r="B188" s="387" t="s">
        <v>430</v>
      </c>
      <c r="C188" s="548">
        <v>10</v>
      </c>
      <c r="D188" s="383" t="s">
        <v>128</v>
      </c>
      <c r="E188" s="545">
        <v>358</v>
      </c>
      <c r="F188" s="544">
        <f t="shared" si="20"/>
        <v>3580</v>
      </c>
      <c r="G188" s="549" t="s">
        <v>124</v>
      </c>
      <c r="H188" s="549" t="s">
        <v>124</v>
      </c>
      <c r="I188" s="376">
        <f t="shared" si="21"/>
        <v>3580</v>
      </c>
      <c r="J188" s="277"/>
      <c r="K188" s="286"/>
      <c r="L188" s="196"/>
      <c r="M188" s="267"/>
      <c r="N188" s="267"/>
      <c r="O188" s="267"/>
      <c r="P188" s="267"/>
    </row>
    <row r="189" spans="1:16" s="283" customFormat="1" ht="20.100000000000001" customHeight="1">
      <c r="A189" s="278"/>
      <c r="B189" s="387" t="s">
        <v>431</v>
      </c>
      <c r="C189" s="548">
        <v>60</v>
      </c>
      <c r="D189" s="383" t="s">
        <v>128</v>
      </c>
      <c r="E189" s="545">
        <v>202</v>
      </c>
      <c r="F189" s="544">
        <f t="shared" si="20"/>
        <v>12120</v>
      </c>
      <c r="G189" s="549" t="s">
        <v>124</v>
      </c>
      <c r="H189" s="549" t="s">
        <v>124</v>
      </c>
      <c r="I189" s="376">
        <f t="shared" si="21"/>
        <v>12120</v>
      </c>
      <c r="J189" s="277"/>
      <c r="K189" s="286"/>
      <c r="L189" s="196"/>
      <c r="M189" s="267"/>
      <c r="N189" s="267"/>
      <c r="O189" s="267"/>
      <c r="P189" s="267"/>
    </row>
    <row r="190" spans="1:16" ht="20.100000000000001" customHeight="1">
      <c r="A190" s="278"/>
      <c r="B190" s="387" t="s">
        <v>432</v>
      </c>
      <c r="C190" s="543">
        <v>10</v>
      </c>
      <c r="D190" s="383" t="s">
        <v>128</v>
      </c>
      <c r="E190" s="545">
        <v>975</v>
      </c>
      <c r="F190" s="545">
        <f>C190*E190</f>
        <v>9750</v>
      </c>
      <c r="G190" s="546" t="s">
        <v>124</v>
      </c>
      <c r="H190" s="547" t="s">
        <v>124</v>
      </c>
      <c r="I190" s="376">
        <f t="shared" si="21"/>
        <v>9750</v>
      </c>
      <c r="J190" s="277"/>
      <c r="K190" s="286"/>
    </row>
    <row r="191" spans="1:16" ht="20.100000000000001" customHeight="1">
      <c r="A191" s="278"/>
      <c r="B191" s="387" t="s">
        <v>433</v>
      </c>
      <c r="C191" s="543">
        <v>10</v>
      </c>
      <c r="D191" s="383" t="s">
        <v>128</v>
      </c>
      <c r="E191" s="544">
        <v>364</v>
      </c>
      <c r="F191" s="545">
        <f>C191*E191</f>
        <v>3640</v>
      </c>
      <c r="G191" s="546" t="s">
        <v>124</v>
      </c>
      <c r="H191" s="547" t="s">
        <v>124</v>
      </c>
      <c r="I191" s="376">
        <f t="shared" si="21"/>
        <v>3640</v>
      </c>
      <c r="J191" s="277"/>
      <c r="K191" s="286"/>
      <c r="M191" s="267" t="s">
        <v>9</v>
      </c>
    </row>
    <row r="192" spans="1:16" ht="20.100000000000001" customHeight="1">
      <c r="A192" s="278"/>
      <c r="B192" s="387" t="s">
        <v>434</v>
      </c>
      <c r="C192" s="543">
        <v>40</v>
      </c>
      <c r="D192" s="383" t="s">
        <v>128</v>
      </c>
      <c r="E192" s="544">
        <v>40</v>
      </c>
      <c r="F192" s="545">
        <f>C192*E192</f>
        <v>1600</v>
      </c>
      <c r="G192" s="546" t="s">
        <v>124</v>
      </c>
      <c r="H192" s="547" t="s">
        <v>124</v>
      </c>
      <c r="I192" s="376">
        <f t="shared" si="21"/>
        <v>1600</v>
      </c>
      <c r="J192" s="277"/>
      <c r="K192" s="286"/>
      <c r="M192" s="438"/>
    </row>
    <row r="193" spans="1:16" ht="20.100000000000001" customHeight="1">
      <c r="A193" s="278"/>
      <c r="B193" s="387" t="s">
        <v>435</v>
      </c>
      <c r="C193" s="543">
        <v>10</v>
      </c>
      <c r="D193" s="383" t="s">
        <v>128</v>
      </c>
      <c r="E193" s="544">
        <v>579</v>
      </c>
      <c r="F193" s="545">
        <f>C193*E193</f>
        <v>5790</v>
      </c>
      <c r="G193" s="546" t="s">
        <v>124</v>
      </c>
      <c r="H193" s="547" t="s">
        <v>124</v>
      </c>
      <c r="I193" s="376">
        <f t="shared" si="21"/>
        <v>5790</v>
      </c>
      <c r="J193" s="277"/>
      <c r="K193" s="286"/>
      <c r="L193" s="424"/>
    </row>
    <row r="194" spans="1:16" ht="20.100000000000001" customHeight="1">
      <c r="A194" s="278"/>
      <c r="B194" s="387" t="s">
        <v>436</v>
      </c>
      <c r="C194" s="543">
        <v>10</v>
      </c>
      <c r="D194" s="383" t="s">
        <v>128</v>
      </c>
      <c r="E194" s="544">
        <v>182</v>
      </c>
      <c r="F194" s="545">
        <f>C194*E194</f>
        <v>1820</v>
      </c>
      <c r="G194" s="546" t="s">
        <v>124</v>
      </c>
      <c r="H194" s="547" t="s">
        <v>124</v>
      </c>
      <c r="I194" s="376">
        <f>SUM(F194)</f>
        <v>1820</v>
      </c>
      <c r="J194" s="277"/>
      <c r="K194" s="286"/>
      <c r="L194" s="284"/>
      <c r="M194" s="283"/>
      <c r="N194" s="283"/>
      <c r="O194" s="283"/>
      <c r="P194" s="283"/>
    </row>
    <row r="195" spans="1:16" ht="20.100000000000001" customHeight="1">
      <c r="A195" s="278"/>
      <c r="B195" s="279"/>
      <c r="C195" s="285"/>
      <c r="D195" s="274"/>
      <c r="E195" s="281"/>
      <c r="F195" s="281"/>
      <c r="G195" s="281"/>
      <c r="H195" s="281"/>
      <c r="I195" s="282"/>
      <c r="J195" s="277"/>
      <c r="K195" s="283"/>
      <c r="L195" s="284"/>
      <c r="M195" s="283"/>
      <c r="N195" s="283"/>
      <c r="O195" s="283"/>
      <c r="P195" s="283"/>
    </row>
    <row r="196" spans="1:16" ht="20.100000000000001" customHeight="1">
      <c r="A196" s="460"/>
      <c r="B196" s="288" t="s">
        <v>18</v>
      </c>
      <c r="C196" s="285"/>
      <c r="D196" s="274"/>
      <c r="E196" s="289"/>
      <c r="F196" s="290">
        <f>SUM(F177:F194)</f>
        <v>223542</v>
      </c>
      <c r="G196" s="291"/>
      <c r="H196" s="290"/>
      <c r="I196" s="276"/>
      <c r="J196" s="277"/>
      <c r="K196" s="283"/>
      <c r="L196" s="284"/>
      <c r="M196" s="283"/>
      <c r="N196" s="283" t="s">
        <v>9</v>
      </c>
      <c r="O196" s="283"/>
      <c r="P196" s="283"/>
    </row>
    <row r="197" spans="1:16" ht="21.75" customHeight="1">
      <c r="A197" s="460"/>
      <c r="B197" s="278" t="s">
        <v>86</v>
      </c>
      <c r="C197" s="285"/>
      <c r="D197" s="274"/>
      <c r="E197" s="289"/>
      <c r="F197" s="281"/>
      <c r="G197" s="291"/>
      <c r="H197" s="292"/>
      <c r="I197" s="423">
        <f>SUM(I178:I194)</f>
        <v>223542</v>
      </c>
      <c r="J197" s="277"/>
      <c r="K197" s="435"/>
      <c r="L197" s="436"/>
    </row>
    <row r="198" spans="1:16" ht="20.100000000000001" customHeight="1">
      <c r="A198" s="278"/>
      <c r="B198" s="640" t="s">
        <v>437</v>
      </c>
      <c r="C198" s="641"/>
      <c r="D198" s="641"/>
      <c r="E198" s="642"/>
      <c r="F198" s="375"/>
      <c r="G198" s="375"/>
      <c r="H198" s="375"/>
      <c r="I198" s="337"/>
      <c r="J198" s="277"/>
      <c r="K198" s="435"/>
      <c r="L198" s="436"/>
    </row>
    <row r="199" spans="1:16" ht="20.100000000000001" customHeight="1">
      <c r="A199" s="460"/>
      <c r="B199" s="387" t="s">
        <v>438</v>
      </c>
      <c r="C199" s="548">
        <v>1</v>
      </c>
      <c r="D199" s="383" t="s">
        <v>128</v>
      </c>
      <c r="E199" s="544">
        <v>300</v>
      </c>
      <c r="F199" s="545">
        <f>C199*E199</f>
        <v>300</v>
      </c>
      <c r="G199" s="549" t="s">
        <v>124</v>
      </c>
      <c r="H199" s="549" t="s">
        <v>124</v>
      </c>
      <c r="I199" s="376">
        <f>SUM(F199)</f>
        <v>300</v>
      </c>
      <c r="J199" s="277"/>
      <c r="K199" s="286"/>
    </row>
    <row r="200" spans="1:16" s="283" customFormat="1" ht="20.100000000000001" customHeight="1">
      <c r="A200" s="296"/>
      <c r="B200" s="387" t="s">
        <v>439</v>
      </c>
      <c r="C200" s="548">
        <v>420</v>
      </c>
      <c r="D200" s="383" t="s">
        <v>288</v>
      </c>
      <c r="E200" s="544">
        <v>222</v>
      </c>
      <c r="F200" s="545">
        <f>C200*E200</f>
        <v>93240</v>
      </c>
      <c r="G200" s="549" t="s">
        <v>124</v>
      </c>
      <c r="H200" s="549" t="s">
        <v>124</v>
      </c>
      <c r="I200" s="376">
        <f>SUM(F200)</f>
        <v>93240</v>
      </c>
      <c r="J200" s="277"/>
      <c r="K200" s="286"/>
      <c r="L200" s="196"/>
      <c r="M200" s="267"/>
      <c r="N200" s="267"/>
      <c r="O200" s="267"/>
      <c r="P200" s="267"/>
    </row>
    <row r="201" spans="1:16" s="283" customFormat="1" ht="20.100000000000001" customHeight="1">
      <c r="A201" s="277"/>
      <c r="B201" s="387" t="s">
        <v>440</v>
      </c>
      <c r="C201" s="548">
        <v>58</v>
      </c>
      <c r="D201" s="550" t="s">
        <v>127</v>
      </c>
      <c r="E201" s="544">
        <v>79</v>
      </c>
      <c r="F201" s="545">
        <f>C201*E201</f>
        <v>4582</v>
      </c>
      <c r="G201" s="549" t="s">
        <v>124</v>
      </c>
      <c r="H201" s="549" t="s">
        <v>124</v>
      </c>
      <c r="I201" s="376">
        <f>SUM(F201)</f>
        <v>4582</v>
      </c>
      <c r="J201" s="277"/>
      <c r="K201" s="267"/>
      <c r="L201" s="196"/>
      <c r="M201" s="438"/>
      <c r="N201" s="438"/>
      <c r="O201" s="267"/>
      <c r="P201" s="267"/>
    </row>
    <row r="202" spans="1:16" s="283" customFormat="1" ht="20.100000000000001" customHeight="1">
      <c r="A202" s="277"/>
      <c r="B202" s="387" t="s">
        <v>441</v>
      </c>
      <c r="C202" s="548">
        <v>1</v>
      </c>
      <c r="D202" s="383" t="s">
        <v>19</v>
      </c>
      <c r="E202" s="544">
        <v>54000</v>
      </c>
      <c r="F202" s="544">
        <f>C202*E202</f>
        <v>54000</v>
      </c>
      <c r="G202" s="549" t="s">
        <v>124</v>
      </c>
      <c r="H202" s="549" t="s">
        <v>124</v>
      </c>
      <c r="I202" s="544">
        <f>SUM(F202)</f>
        <v>54000</v>
      </c>
      <c r="J202" s="297"/>
      <c r="K202" s="267"/>
      <c r="L202" s="196"/>
      <c r="M202" s="267"/>
      <c r="N202" s="267"/>
      <c r="O202" s="267"/>
      <c r="P202" s="267"/>
    </row>
    <row r="203" spans="1:16" ht="20.100000000000001" customHeight="1">
      <c r="A203" s="296"/>
      <c r="B203" s="387" t="s">
        <v>442</v>
      </c>
      <c r="C203" s="548">
        <v>1</v>
      </c>
      <c r="D203" s="383" t="s">
        <v>19</v>
      </c>
      <c r="E203" s="549" t="s">
        <v>124</v>
      </c>
      <c r="F203" s="549" t="s">
        <v>124</v>
      </c>
      <c r="G203" s="544">
        <v>120000</v>
      </c>
      <c r="H203" s="544">
        <f>SUM(C203*G203)</f>
        <v>120000</v>
      </c>
      <c r="I203" s="544">
        <f>SUM(H203)</f>
        <v>120000</v>
      </c>
      <c r="J203" s="277"/>
      <c r="K203" s="438"/>
    </row>
    <row r="204" spans="1:16" ht="20.100000000000001" customHeight="1">
      <c r="A204" s="300"/>
      <c r="B204" s="387"/>
      <c r="C204" s="548"/>
      <c r="D204" s="383"/>
      <c r="E204" s="549"/>
      <c r="F204" s="549"/>
      <c r="G204" s="551"/>
      <c r="H204" s="544"/>
      <c r="I204" s="552"/>
      <c r="J204" s="277"/>
    </row>
    <row r="205" spans="1:16" ht="20.100000000000001" customHeight="1">
      <c r="A205" s="300"/>
      <c r="B205" s="288"/>
      <c r="C205" s="285"/>
      <c r="D205" s="274"/>
      <c r="E205" s="289"/>
      <c r="F205" s="329"/>
      <c r="G205" s="553"/>
      <c r="H205" s="554"/>
      <c r="I205" s="555"/>
      <c r="J205" s="277"/>
    </row>
    <row r="206" spans="1:16" ht="20.100000000000001" customHeight="1">
      <c r="A206" s="300"/>
      <c r="B206" s="278"/>
      <c r="C206" s="285"/>
      <c r="D206" s="274"/>
      <c r="E206" s="289"/>
      <c r="F206" s="329"/>
      <c r="G206" s="366"/>
      <c r="H206" s="378"/>
      <c r="I206" s="337"/>
      <c r="J206" s="277"/>
    </row>
    <row r="207" spans="1:16" ht="20.100000000000001" customHeight="1">
      <c r="A207" s="300"/>
      <c r="B207" s="387"/>
      <c r="C207" s="548"/>
      <c r="D207" s="383"/>
      <c r="E207" s="549"/>
      <c r="F207" s="336"/>
      <c r="G207" s="433"/>
      <c r="H207" s="433"/>
      <c r="I207" s="434"/>
      <c r="J207" s="277"/>
    </row>
    <row r="208" spans="1:16" ht="20.100000000000001" customHeight="1">
      <c r="A208" s="300"/>
      <c r="B208" s="430"/>
      <c r="C208" s="431"/>
      <c r="D208" s="432"/>
      <c r="E208" s="336"/>
      <c r="F208" s="336"/>
      <c r="G208" s="433"/>
      <c r="H208" s="433"/>
      <c r="I208" s="434"/>
      <c r="J208" s="277"/>
    </row>
    <row r="209" spans="1:13" ht="20.100000000000001" customHeight="1">
      <c r="A209" s="300"/>
      <c r="B209" s="430"/>
      <c r="C209" s="363"/>
      <c r="D209" s="335"/>
      <c r="E209" s="329"/>
      <c r="F209" s="329"/>
      <c r="G209" s="553"/>
      <c r="H209" s="554"/>
      <c r="I209" s="555"/>
      <c r="J209" s="277"/>
    </row>
    <row r="210" spans="1:13" ht="20.100000000000001" customHeight="1">
      <c r="A210" s="300"/>
      <c r="B210" s="279"/>
      <c r="C210" s="363"/>
      <c r="D210" s="335"/>
      <c r="E210" s="329"/>
      <c r="F210" s="329"/>
      <c r="G210" s="366"/>
      <c r="H210" s="378"/>
      <c r="I210" s="337"/>
      <c r="J210" s="277"/>
      <c r="M210" s="267" t="s">
        <v>9</v>
      </c>
    </row>
    <row r="211" spans="1:13" ht="20.100000000000001" customHeight="1">
      <c r="A211" s="300"/>
      <c r="B211" s="430"/>
      <c r="C211" s="431"/>
      <c r="D211" s="432"/>
      <c r="E211" s="336"/>
      <c r="F211" s="336"/>
      <c r="G211" s="433"/>
      <c r="H211" s="433"/>
      <c r="I211" s="434"/>
      <c r="J211" s="277"/>
      <c r="K211" s="438">
        <f>SUM(F217+H217)</f>
        <v>272122</v>
      </c>
      <c r="L211" s="196" t="s">
        <v>387</v>
      </c>
      <c r="M211" s="286">
        <f>SUM(I29+I50+I71+I92+I113+I134+I155+I176+I197+I218)</f>
        <v>5913860</v>
      </c>
    </row>
    <row r="212" spans="1:13" ht="20.100000000000001" customHeight="1">
      <c r="A212" s="300"/>
      <c r="B212" s="430"/>
      <c r="C212" s="548"/>
      <c r="D212" s="383"/>
      <c r="E212" s="549"/>
      <c r="F212" s="549"/>
      <c r="G212" s="551"/>
      <c r="H212" s="544"/>
      <c r="I212" s="552"/>
      <c r="J212" s="277"/>
      <c r="M212" s="267" t="s">
        <v>9</v>
      </c>
    </row>
    <row r="213" spans="1:13" ht="20.100000000000001" customHeight="1">
      <c r="A213" s="300"/>
      <c r="B213" s="387"/>
      <c r="C213" s="548"/>
      <c r="D213" s="383"/>
      <c r="E213" s="549"/>
      <c r="F213" s="549"/>
      <c r="G213" s="551"/>
      <c r="H213" s="544"/>
      <c r="I213" s="552"/>
      <c r="J213" s="277"/>
    </row>
    <row r="214" spans="1:13" ht="20.100000000000001" customHeight="1">
      <c r="A214" s="300"/>
      <c r="B214" s="387"/>
      <c r="C214" s="548"/>
      <c r="D214" s="383"/>
      <c r="E214" s="549"/>
      <c r="F214" s="549"/>
      <c r="G214" s="551"/>
      <c r="H214" s="544"/>
      <c r="I214" s="552"/>
      <c r="J214" s="277"/>
    </row>
    <row r="215" spans="1:13" ht="20.100000000000001" customHeight="1">
      <c r="A215" s="300"/>
      <c r="B215" s="387"/>
      <c r="C215" s="548"/>
      <c r="D215" s="383"/>
      <c r="E215" s="549"/>
      <c r="F215" s="549"/>
      <c r="G215" s="551"/>
      <c r="H215" s="544"/>
      <c r="I215" s="552"/>
      <c r="J215" s="277"/>
      <c r="M215" s="267" t="s">
        <v>9</v>
      </c>
    </row>
    <row r="216" spans="1:13" ht="20.100000000000001" customHeight="1">
      <c r="A216" s="300"/>
      <c r="B216" s="279"/>
      <c r="C216" s="299"/>
      <c r="D216" s="274"/>
      <c r="E216" s="281"/>
      <c r="F216" s="281"/>
      <c r="G216" s="301"/>
      <c r="H216" s="281"/>
      <c r="I216" s="282"/>
      <c r="J216" s="277"/>
    </row>
    <row r="217" spans="1:13" ht="20.100000000000001" customHeight="1">
      <c r="A217" s="460"/>
      <c r="B217" s="288" t="s">
        <v>18</v>
      </c>
      <c r="C217" s="285"/>
      <c r="D217" s="274"/>
      <c r="E217" s="289"/>
      <c r="F217" s="290">
        <f>SUM(F199:F216)</f>
        <v>152122</v>
      </c>
      <c r="G217" s="291"/>
      <c r="H217" s="290">
        <f>SUM(H203:H216)</f>
        <v>120000</v>
      </c>
      <c r="I217" s="276"/>
      <c r="J217" s="277"/>
    </row>
    <row r="218" spans="1:13" ht="24" customHeight="1">
      <c r="A218" s="460"/>
      <c r="B218" s="278" t="s">
        <v>86</v>
      </c>
      <c r="C218" s="285"/>
      <c r="D218" s="274"/>
      <c r="E218" s="289"/>
      <c r="F218" s="281"/>
      <c r="G218" s="291"/>
      <c r="H218" s="292"/>
      <c r="I218" s="423">
        <f>SUM(I198:I215)</f>
        <v>272122</v>
      </c>
      <c r="J218" s="277"/>
    </row>
    <row r="221" spans="1:13">
      <c r="I221" s="286">
        <f>SUM(I29+I50+I71+I92+I113+I134+I155+I176+I197+I218)</f>
        <v>5913860</v>
      </c>
    </row>
  </sheetData>
  <mergeCells count="12">
    <mergeCell ref="G76:H76"/>
    <mergeCell ref="B177:D177"/>
    <mergeCell ref="B198:E198"/>
    <mergeCell ref="A1:J1"/>
    <mergeCell ref="B3:E3"/>
    <mergeCell ref="A6:A7"/>
    <mergeCell ref="B6:B7"/>
    <mergeCell ref="C6:C7"/>
    <mergeCell ref="D6:D7"/>
    <mergeCell ref="E6:F6"/>
    <mergeCell ref="G6:H6"/>
    <mergeCell ref="J6:J7"/>
  </mergeCells>
  <pageMargins left="0.35433070866141736" right="0.27559055118110237" top="0.39370078740157483" bottom="0.2" header="0.11811023622047245" footer="0.16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R291"/>
  <sheetViews>
    <sheetView view="pageBreakPreview" topLeftCell="A276" zoomScale="90" zoomScaleSheetLayoutView="90" workbookViewId="0">
      <selection sqref="A1:J283"/>
    </sheetView>
  </sheetViews>
  <sheetFormatPr defaultRowHeight="21.75"/>
  <cols>
    <col min="1" max="1" width="10.42578125" style="412" customWidth="1"/>
    <col min="2" max="2" width="57" style="267" customWidth="1"/>
    <col min="3" max="3" width="8.5703125" style="267" customWidth="1"/>
    <col min="4" max="4" width="7" style="267" customWidth="1"/>
    <col min="5" max="8" width="11.7109375" style="267" customWidth="1"/>
    <col min="9" max="9" width="13.140625" style="267" customWidth="1"/>
    <col min="10" max="10" width="8.85546875" style="267" customWidth="1"/>
    <col min="11" max="11" width="12" style="267" customWidth="1"/>
    <col min="12" max="12" width="13.85546875" style="196" bestFit="1" customWidth="1"/>
    <col min="13" max="14" width="13.85546875" style="267" bestFit="1" customWidth="1"/>
    <col min="15" max="16384" width="9.140625" style="267"/>
  </cols>
  <sheetData>
    <row r="1" spans="1:13" s="196" customFormat="1" ht="21" customHeight="1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3" s="263" customFormat="1" ht="21" customHeight="1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3" s="196" customFormat="1" ht="21" customHeight="1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580</v>
      </c>
      <c r="H3" s="203"/>
      <c r="I3" s="261"/>
      <c r="J3" s="203"/>
    </row>
    <row r="4" spans="1:13" s="263" customFormat="1" ht="21" customHeight="1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3" s="263" customFormat="1" ht="21" customHeight="1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3" ht="21" customHeight="1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</row>
    <row r="7" spans="1:13" ht="21" customHeight="1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</row>
    <row r="8" spans="1:13" ht="20.100000000000001" customHeight="1" thickTop="1">
      <c r="A8" s="278"/>
      <c r="B8" s="643" t="s">
        <v>443</v>
      </c>
      <c r="C8" s="644"/>
      <c r="D8" s="645"/>
      <c r="E8" s="275"/>
      <c r="F8" s="275"/>
      <c r="G8" s="275"/>
      <c r="H8" s="275"/>
      <c r="I8" s="276"/>
      <c r="J8" s="277"/>
      <c r="K8" s="267" t="s">
        <v>9</v>
      </c>
    </row>
    <row r="9" spans="1:13" ht="20.100000000000001" customHeight="1">
      <c r="A9" s="278"/>
      <c r="B9" s="556" t="s">
        <v>295</v>
      </c>
      <c r="C9" s="271"/>
      <c r="D9" s="272"/>
      <c r="E9" s="273"/>
      <c r="F9" s="273"/>
      <c r="G9" s="273"/>
      <c r="H9" s="486"/>
      <c r="I9" s="266"/>
      <c r="J9" s="277"/>
      <c r="K9" s="286"/>
      <c r="M9" s="267" t="s">
        <v>9</v>
      </c>
    </row>
    <row r="10" spans="1:13" s="283" customFormat="1" ht="20.100000000000001" customHeight="1">
      <c r="A10" s="278"/>
      <c r="B10" s="430" t="s">
        <v>444</v>
      </c>
      <c r="C10" s="285"/>
      <c r="D10" s="274"/>
      <c r="E10" s="281"/>
      <c r="F10" s="281"/>
      <c r="G10" s="281"/>
      <c r="H10" s="281"/>
      <c r="I10" s="282"/>
      <c r="J10" s="277"/>
      <c r="K10" s="286"/>
      <c r="L10" s="284"/>
    </row>
    <row r="11" spans="1:13" s="283" customFormat="1" ht="20.100000000000001" customHeight="1">
      <c r="A11" s="278"/>
      <c r="B11" s="277" t="s">
        <v>717</v>
      </c>
      <c r="C11" s="296">
        <v>7</v>
      </c>
      <c r="D11" s="296" t="s">
        <v>288</v>
      </c>
      <c r="E11" s="441">
        <v>54</v>
      </c>
      <c r="F11" s="441">
        <f>SUM(E11*C11)</f>
        <v>378</v>
      </c>
      <c r="G11" s="441">
        <v>50</v>
      </c>
      <c r="H11" s="441">
        <f>SUM(G11*C11)</f>
        <v>350</v>
      </c>
      <c r="I11" s="303">
        <f>SUM(H11+F11)</f>
        <v>728</v>
      </c>
      <c r="J11" s="277"/>
      <c r="L11" s="284"/>
    </row>
    <row r="12" spans="1:13" s="283" customFormat="1" ht="18.95" customHeight="1">
      <c r="A12" s="278"/>
      <c r="B12" s="277" t="s">
        <v>718</v>
      </c>
      <c r="C12" s="296">
        <v>15</v>
      </c>
      <c r="D12" s="296" t="s">
        <v>288</v>
      </c>
      <c r="E12" s="441">
        <v>166</v>
      </c>
      <c r="F12" s="441">
        <f>SUM(E12*C12)</f>
        <v>2490</v>
      </c>
      <c r="G12" s="441">
        <v>120</v>
      </c>
      <c r="H12" s="441">
        <f>SUM(G12*C12)</f>
        <v>1800</v>
      </c>
      <c r="I12" s="303">
        <f>SUM(H12+F12)</f>
        <v>4290</v>
      </c>
      <c r="J12" s="277"/>
      <c r="L12" s="284"/>
    </row>
    <row r="13" spans="1:13" ht="18.95" customHeight="1">
      <c r="A13" s="278"/>
      <c r="B13" s="279" t="s">
        <v>445</v>
      </c>
      <c r="C13" s="296">
        <v>1</v>
      </c>
      <c r="D13" s="296" t="s">
        <v>19</v>
      </c>
      <c r="E13" s="441">
        <v>750</v>
      </c>
      <c r="F13" s="441">
        <f>SUM(E13*C13)</f>
        <v>750</v>
      </c>
      <c r="G13" s="442" t="s">
        <v>124</v>
      </c>
      <c r="H13" s="442" t="s">
        <v>124</v>
      </c>
      <c r="I13" s="303">
        <f>SUM(F13)</f>
        <v>750</v>
      </c>
      <c r="J13" s="277"/>
    </row>
    <row r="14" spans="1:13" ht="18.95" customHeight="1">
      <c r="A14" s="278"/>
      <c r="B14" s="279" t="s">
        <v>446</v>
      </c>
      <c r="C14" s="296">
        <v>1</v>
      </c>
      <c r="D14" s="296" t="s">
        <v>19</v>
      </c>
      <c r="E14" s="441">
        <v>300</v>
      </c>
      <c r="F14" s="441">
        <f>SUM(E14*C14)</f>
        <v>300</v>
      </c>
      <c r="G14" s="441">
        <v>100</v>
      </c>
      <c r="H14" s="441">
        <f>SUM(G14*C14)</f>
        <v>100</v>
      </c>
      <c r="I14" s="303">
        <f>SUM(H14+F14)</f>
        <v>400</v>
      </c>
      <c r="J14" s="277"/>
      <c r="L14" s="196" t="s">
        <v>9</v>
      </c>
    </row>
    <row r="15" spans="1:13" ht="18.95" customHeight="1">
      <c r="A15" s="278"/>
      <c r="B15" s="430" t="s">
        <v>447</v>
      </c>
      <c r="C15" s="274"/>
      <c r="D15" s="492"/>
      <c r="E15" s="289"/>
      <c r="F15" s="281"/>
      <c r="G15" s="281"/>
      <c r="H15" s="281"/>
      <c r="I15" s="276"/>
      <c r="J15" s="277"/>
    </row>
    <row r="16" spans="1:13" ht="18.95" customHeight="1">
      <c r="A16" s="278"/>
      <c r="B16" s="277" t="s">
        <v>448</v>
      </c>
      <c r="C16" s="296">
        <v>4</v>
      </c>
      <c r="D16" s="296" t="s">
        <v>130</v>
      </c>
      <c r="E16" s="441">
        <v>427</v>
      </c>
      <c r="F16" s="441">
        <f>SUM(E16*C16)</f>
        <v>1708</v>
      </c>
      <c r="G16" s="441">
        <v>250</v>
      </c>
      <c r="H16" s="441">
        <f>SUM(G16*C16)</f>
        <v>1000</v>
      </c>
      <c r="I16" s="303">
        <f>SUM(H16+F16)</f>
        <v>2708</v>
      </c>
      <c r="J16" s="277"/>
    </row>
    <row r="17" spans="1:13" ht="18.95" customHeight="1">
      <c r="A17" s="278"/>
      <c r="B17" s="279" t="s">
        <v>445</v>
      </c>
      <c r="C17" s="296">
        <v>1</v>
      </c>
      <c r="D17" s="296" t="s">
        <v>19</v>
      </c>
      <c r="E17" s="441">
        <v>400</v>
      </c>
      <c r="F17" s="441">
        <f>SUM(E17*C17)</f>
        <v>400</v>
      </c>
      <c r="G17" s="442" t="s">
        <v>124</v>
      </c>
      <c r="H17" s="442" t="s">
        <v>124</v>
      </c>
      <c r="I17" s="303">
        <f>SUM(F17)</f>
        <v>400</v>
      </c>
      <c r="J17" s="277"/>
    </row>
    <row r="18" spans="1:13" ht="18.95" customHeight="1">
      <c r="A18" s="278"/>
      <c r="B18" s="279" t="s">
        <v>446</v>
      </c>
      <c r="C18" s="296">
        <v>1</v>
      </c>
      <c r="D18" s="296" t="s">
        <v>19</v>
      </c>
      <c r="E18" s="441">
        <v>200</v>
      </c>
      <c r="F18" s="441">
        <f>SUM(E18*C18)</f>
        <v>200</v>
      </c>
      <c r="G18" s="441">
        <v>100</v>
      </c>
      <c r="H18" s="441">
        <f>SUM(G18*C18)</f>
        <v>100</v>
      </c>
      <c r="I18" s="303">
        <f>SUM(H18+F18)</f>
        <v>300</v>
      </c>
      <c r="J18" s="277"/>
      <c r="M18" s="267" t="s">
        <v>9</v>
      </c>
    </row>
    <row r="19" spans="1:13" s="283" customFormat="1" ht="18.95" customHeight="1">
      <c r="A19" s="278"/>
      <c r="B19" s="377" t="s">
        <v>449</v>
      </c>
      <c r="C19" s="277"/>
      <c r="D19" s="277"/>
      <c r="E19" s="277"/>
      <c r="F19" s="277"/>
      <c r="G19" s="277"/>
      <c r="H19" s="277"/>
      <c r="I19" s="557"/>
      <c r="J19" s="277"/>
      <c r="L19" s="284"/>
    </row>
    <row r="20" spans="1:13" ht="18.95" customHeight="1">
      <c r="A20" s="278"/>
      <c r="B20" s="277" t="s">
        <v>450</v>
      </c>
      <c r="C20" s="440">
        <v>4</v>
      </c>
      <c r="D20" s="383" t="s">
        <v>157</v>
      </c>
      <c r="E20" s="385">
        <v>11415</v>
      </c>
      <c r="F20" s="384">
        <f>C20*E20</f>
        <v>45660</v>
      </c>
      <c r="G20" s="385">
        <v>600</v>
      </c>
      <c r="H20" s="385">
        <f>SUM(C20*G20)</f>
        <v>2400</v>
      </c>
      <c r="I20" s="385">
        <f>SUM(F20+H20)</f>
        <v>48060</v>
      </c>
      <c r="J20" s="277"/>
    </row>
    <row r="21" spans="1:13" ht="18.95" customHeight="1">
      <c r="A21" s="278"/>
      <c r="B21" s="277" t="s">
        <v>448</v>
      </c>
      <c r="C21" s="440">
        <v>1</v>
      </c>
      <c r="D21" s="383" t="s">
        <v>157</v>
      </c>
      <c r="E21" s="385">
        <v>16340</v>
      </c>
      <c r="F21" s="384">
        <f>C21*E21</f>
        <v>16340</v>
      </c>
      <c r="G21" s="385">
        <v>800</v>
      </c>
      <c r="H21" s="385">
        <f>SUM(C21*G21)</f>
        <v>800</v>
      </c>
      <c r="I21" s="385">
        <f>SUM(F21+H21)</f>
        <v>17140</v>
      </c>
      <c r="J21" s="277"/>
      <c r="L21" s="424"/>
    </row>
    <row r="22" spans="1:13" ht="18.95" customHeight="1">
      <c r="A22" s="278"/>
      <c r="B22" s="377" t="s">
        <v>451</v>
      </c>
      <c r="C22" s="467"/>
      <c r="D22" s="296"/>
      <c r="E22" s="443"/>
      <c r="F22" s="443"/>
      <c r="G22" s="443"/>
      <c r="H22" s="443"/>
      <c r="I22" s="437"/>
      <c r="J22" s="277"/>
    </row>
    <row r="23" spans="1:13" ht="18.95" customHeight="1">
      <c r="A23" s="278"/>
      <c r="B23" s="277" t="s">
        <v>452</v>
      </c>
      <c r="C23" s="467">
        <v>1</v>
      </c>
      <c r="D23" s="296" t="s">
        <v>157</v>
      </c>
      <c r="E23" s="443">
        <v>14553</v>
      </c>
      <c r="F23" s="443">
        <f>SUM(E23*C23)</f>
        <v>14553</v>
      </c>
      <c r="G23" s="443">
        <v>500</v>
      </c>
      <c r="H23" s="443">
        <f>SUM(G23*C23)</f>
        <v>500</v>
      </c>
      <c r="I23" s="437">
        <f>SUM(H23+F23)</f>
        <v>15053</v>
      </c>
      <c r="J23" s="277"/>
      <c r="K23" s="286"/>
    </row>
    <row r="24" spans="1:13" ht="18.95" customHeight="1">
      <c r="A24" s="278"/>
      <c r="B24" s="377" t="s">
        <v>453</v>
      </c>
      <c r="C24" s="558"/>
      <c r="D24" s="296"/>
      <c r="E24" s="443"/>
      <c r="F24" s="443"/>
      <c r="G24" s="443"/>
      <c r="H24" s="443"/>
      <c r="I24" s="437"/>
      <c r="J24" s="277"/>
      <c r="K24" s="286"/>
      <c r="L24" s="196" t="s">
        <v>9</v>
      </c>
    </row>
    <row r="25" spans="1:13" ht="18.95" customHeight="1">
      <c r="A25" s="278"/>
      <c r="B25" s="277" t="s">
        <v>719</v>
      </c>
      <c r="C25" s="558">
        <v>2</v>
      </c>
      <c r="D25" s="296" t="s">
        <v>157</v>
      </c>
      <c r="E25" s="443">
        <v>35800</v>
      </c>
      <c r="F25" s="443">
        <f>SUM(E25*C25)</f>
        <v>71600</v>
      </c>
      <c r="G25" s="444" t="s">
        <v>124</v>
      </c>
      <c r="H25" s="444" t="s">
        <v>124</v>
      </c>
      <c r="I25" s="437">
        <f>SUM(F25)</f>
        <v>71600</v>
      </c>
      <c r="J25" s="277"/>
      <c r="K25" s="286"/>
    </row>
    <row r="26" spans="1:13" ht="18.95" customHeight="1">
      <c r="A26" s="278"/>
      <c r="B26" s="387" t="s">
        <v>720</v>
      </c>
      <c r="C26" s="440">
        <v>6</v>
      </c>
      <c r="D26" s="383" t="s">
        <v>454</v>
      </c>
      <c r="E26" s="385">
        <v>454</v>
      </c>
      <c r="F26" s="384">
        <f>C26*E26</f>
        <v>2724</v>
      </c>
      <c r="G26" s="472" t="s">
        <v>124</v>
      </c>
      <c r="H26" s="472" t="s">
        <v>124</v>
      </c>
      <c r="I26" s="376">
        <f>SUM(F26)</f>
        <v>2724</v>
      </c>
      <c r="J26" s="277"/>
      <c r="K26" s="286"/>
    </row>
    <row r="27" spans="1:13" ht="18.95" customHeight="1">
      <c r="A27" s="278"/>
      <c r="B27" s="279"/>
      <c r="C27" s="285"/>
      <c r="D27" s="274"/>
      <c r="E27" s="281"/>
      <c r="F27" s="281"/>
      <c r="G27" s="281"/>
      <c r="H27" s="281"/>
      <c r="I27" s="282"/>
      <c r="J27" s="277"/>
      <c r="K27" s="286"/>
    </row>
    <row r="28" spans="1:13" ht="18.95" customHeight="1">
      <c r="A28" s="460"/>
      <c r="B28" s="288" t="s">
        <v>18</v>
      </c>
      <c r="C28" s="285"/>
      <c r="D28" s="274"/>
      <c r="E28" s="289"/>
      <c r="F28" s="290">
        <f>SUM(F9:F26)</f>
        <v>157103</v>
      </c>
      <c r="G28" s="291"/>
      <c r="H28" s="290">
        <f>SUM(H9:H27)</f>
        <v>7050</v>
      </c>
      <c r="I28" s="276"/>
      <c r="J28" s="277"/>
      <c r="K28" s="286">
        <f>SUM(F28+H28)</f>
        <v>164153</v>
      </c>
    </row>
    <row r="29" spans="1:13" ht="18.95" customHeight="1">
      <c r="A29" s="460"/>
      <c r="B29" s="278" t="s">
        <v>86</v>
      </c>
      <c r="C29" s="285"/>
      <c r="D29" s="274"/>
      <c r="E29" s="289"/>
      <c r="F29" s="281"/>
      <c r="G29" s="291"/>
      <c r="H29" s="292"/>
      <c r="I29" s="423">
        <f>SUM(I9:I26)</f>
        <v>164153</v>
      </c>
      <c r="J29" s="277"/>
      <c r="K29" s="286"/>
    </row>
    <row r="30" spans="1:13" ht="18.95" customHeight="1">
      <c r="A30" s="278"/>
      <c r="B30" s="643" t="s">
        <v>455</v>
      </c>
      <c r="C30" s="644"/>
      <c r="D30" s="645"/>
      <c r="E30" s="559"/>
      <c r="F30" s="560"/>
      <c r="G30" s="561"/>
      <c r="H30" s="561"/>
      <c r="I30" s="282"/>
      <c r="J30" s="277"/>
      <c r="K30" s="286"/>
    </row>
    <row r="31" spans="1:13" ht="18.95" customHeight="1">
      <c r="A31" s="278"/>
      <c r="B31" s="377" t="s">
        <v>456</v>
      </c>
      <c r="C31" s="558"/>
      <c r="D31" s="296"/>
      <c r="E31" s="443"/>
      <c r="F31" s="443"/>
      <c r="G31" s="443"/>
      <c r="H31" s="443"/>
      <c r="I31" s="437"/>
      <c r="J31" s="277"/>
      <c r="K31" s="286"/>
      <c r="L31" s="424"/>
    </row>
    <row r="32" spans="1:13" s="283" customFormat="1" ht="18.95" customHeight="1">
      <c r="A32" s="279"/>
      <c r="B32" s="387" t="s">
        <v>721</v>
      </c>
      <c r="C32" s="440">
        <v>6</v>
      </c>
      <c r="D32" s="383" t="s">
        <v>128</v>
      </c>
      <c r="E32" s="385">
        <v>435</v>
      </c>
      <c r="F32" s="384">
        <f>C32*E32</f>
        <v>2610</v>
      </c>
      <c r="G32" s="472" t="s">
        <v>124</v>
      </c>
      <c r="H32" s="472" t="s">
        <v>124</v>
      </c>
      <c r="I32" s="376">
        <f>SUM(F32)</f>
        <v>2610</v>
      </c>
      <c r="J32" s="277"/>
      <c r="K32" s="286">
        <f>SUM(F28+H28)</f>
        <v>164153</v>
      </c>
      <c r="L32" s="284"/>
    </row>
    <row r="33" spans="1:14" s="283" customFormat="1" ht="18.95" customHeight="1">
      <c r="A33" s="278"/>
      <c r="B33" s="387" t="s">
        <v>457</v>
      </c>
      <c r="C33" s="440"/>
      <c r="D33" s="383"/>
      <c r="E33" s="562"/>
      <c r="F33" s="562"/>
      <c r="G33" s="562"/>
      <c r="H33" s="562"/>
      <c r="I33" s="540"/>
      <c r="J33" s="277"/>
      <c r="L33" s="284"/>
      <c r="M33" s="563">
        <f>SUM(I29)</f>
        <v>164153</v>
      </c>
    </row>
    <row r="34" spans="1:14" s="283" customFormat="1" ht="18.95" customHeight="1">
      <c r="A34" s="278"/>
      <c r="B34" s="387" t="s">
        <v>458</v>
      </c>
      <c r="C34" s="440">
        <v>1</v>
      </c>
      <c r="D34" s="383" t="s">
        <v>128</v>
      </c>
      <c r="E34" s="385">
        <v>4500</v>
      </c>
      <c r="F34" s="384">
        <f>C34*E34</f>
        <v>4500</v>
      </c>
      <c r="G34" s="646" t="s">
        <v>459</v>
      </c>
      <c r="H34" s="647"/>
      <c r="I34" s="376">
        <f>SUM(F34)</f>
        <v>4500</v>
      </c>
      <c r="J34" s="277"/>
      <c r="L34" s="284" t="s">
        <v>9</v>
      </c>
    </row>
    <row r="35" spans="1:14" s="283" customFormat="1" ht="18.95" customHeight="1">
      <c r="A35" s="278"/>
      <c r="B35" s="556" t="s">
        <v>460</v>
      </c>
      <c r="C35" s="558"/>
      <c r="D35" s="296"/>
      <c r="E35" s="443"/>
      <c r="F35" s="443"/>
      <c r="G35" s="444"/>
      <c r="H35" s="444"/>
      <c r="I35" s="437"/>
      <c r="J35" s="277"/>
      <c r="L35" s="284"/>
    </row>
    <row r="36" spans="1:14" ht="18.95" customHeight="1">
      <c r="A36" s="278"/>
      <c r="B36" s="556" t="s">
        <v>461</v>
      </c>
      <c r="C36" s="285"/>
      <c r="D36" s="492"/>
      <c r="E36" s="443"/>
      <c r="F36" s="443"/>
      <c r="G36" s="444"/>
      <c r="H36" s="444"/>
      <c r="I36" s="437"/>
      <c r="J36" s="277"/>
    </row>
    <row r="37" spans="1:14" ht="18.95" customHeight="1">
      <c r="A37" s="278"/>
      <c r="B37" s="430" t="s">
        <v>447</v>
      </c>
      <c r="C37" s="440"/>
      <c r="D37" s="383"/>
      <c r="E37" s="385"/>
      <c r="F37" s="384"/>
      <c r="G37" s="385"/>
      <c r="H37" s="385"/>
      <c r="I37" s="385"/>
      <c r="J37" s="277"/>
    </row>
    <row r="38" spans="1:14" ht="18.95" customHeight="1">
      <c r="A38" s="278"/>
      <c r="B38" s="277" t="s">
        <v>462</v>
      </c>
      <c r="C38" s="296">
        <v>96</v>
      </c>
      <c r="D38" s="296" t="s">
        <v>130</v>
      </c>
      <c r="E38" s="441">
        <v>293</v>
      </c>
      <c r="F38" s="441">
        <f>SUM(E38*C38)</f>
        <v>28128</v>
      </c>
      <c r="G38" s="441">
        <v>175</v>
      </c>
      <c r="H38" s="441">
        <f>SUM(G38*C38)</f>
        <v>16800</v>
      </c>
      <c r="I38" s="303">
        <f>SUM(H38+F38)</f>
        <v>44928</v>
      </c>
      <c r="J38" s="277"/>
      <c r="M38" s="438">
        <f>SUM(I32:I34)</f>
        <v>7110</v>
      </c>
      <c r="N38" s="286">
        <f>SUM(M33+M38)</f>
        <v>171263</v>
      </c>
    </row>
    <row r="39" spans="1:14" ht="18.95" customHeight="1">
      <c r="A39" s="460"/>
      <c r="B39" s="277" t="s">
        <v>448</v>
      </c>
      <c r="C39" s="296">
        <v>4</v>
      </c>
      <c r="D39" s="296" t="s">
        <v>130</v>
      </c>
      <c r="E39" s="441">
        <v>427</v>
      </c>
      <c r="F39" s="441">
        <f>SUM(E39*C39)</f>
        <v>1708</v>
      </c>
      <c r="G39" s="441">
        <v>250</v>
      </c>
      <c r="H39" s="441">
        <f>SUM(G39*C39)</f>
        <v>1000</v>
      </c>
      <c r="I39" s="303">
        <f>SUM(H39+F39)</f>
        <v>2708</v>
      </c>
      <c r="J39" s="277"/>
      <c r="L39" s="196" t="s">
        <v>9</v>
      </c>
    </row>
    <row r="40" spans="1:14" ht="18.95" customHeight="1">
      <c r="A40" s="460"/>
      <c r="B40" s="277" t="s">
        <v>463</v>
      </c>
      <c r="C40" s="296">
        <v>13</v>
      </c>
      <c r="D40" s="296" t="s">
        <v>130</v>
      </c>
      <c r="E40" s="441">
        <v>690</v>
      </c>
      <c r="F40" s="441">
        <f>SUM(E40*C40)</f>
        <v>8970</v>
      </c>
      <c r="G40" s="441">
        <v>400</v>
      </c>
      <c r="H40" s="441">
        <f>SUM(G40*C40)</f>
        <v>5200</v>
      </c>
      <c r="I40" s="303">
        <f>SUM(H40+F40)</f>
        <v>14170</v>
      </c>
      <c r="J40" s="277"/>
    </row>
    <row r="41" spans="1:14" s="283" customFormat="1" ht="18.95" customHeight="1">
      <c r="A41" s="460"/>
      <c r="B41" s="279" t="s">
        <v>445</v>
      </c>
      <c r="C41" s="296">
        <v>1</v>
      </c>
      <c r="D41" s="296" t="s">
        <v>19</v>
      </c>
      <c r="E41" s="441">
        <v>7900</v>
      </c>
      <c r="F41" s="441">
        <f>SUM(E41*C41)</f>
        <v>7900</v>
      </c>
      <c r="G41" s="442" t="s">
        <v>124</v>
      </c>
      <c r="H41" s="442" t="s">
        <v>124</v>
      </c>
      <c r="I41" s="303">
        <f>SUM(F41)</f>
        <v>7900</v>
      </c>
      <c r="J41" s="277"/>
      <c r="L41" s="284"/>
    </row>
    <row r="42" spans="1:14" s="283" customFormat="1" ht="18.95" customHeight="1">
      <c r="A42" s="296"/>
      <c r="B42" s="279" t="s">
        <v>446</v>
      </c>
      <c r="C42" s="296">
        <v>1</v>
      </c>
      <c r="D42" s="296" t="s">
        <v>19</v>
      </c>
      <c r="E42" s="441">
        <v>3000</v>
      </c>
      <c r="F42" s="441">
        <f>SUM(E42*C42)</f>
        <v>3000</v>
      </c>
      <c r="G42" s="441">
        <v>900</v>
      </c>
      <c r="H42" s="441">
        <f>SUM(G42*C42)</f>
        <v>900</v>
      </c>
      <c r="I42" s="303">
        <f>SUM(H42+F42)</f>
        <v>3900</v>
      </c>
      <c r="J42" s="277"/>
      <c r="L42" s="284"/>
    </row>
    <row r="43" spans="1:14" ht="18.95" customHeight="1">
      <c r="A43" s="277"/>
      <c r="B43" s="377" t="s">
        <v>449</v>
      </c>
      <c r="C43" s="277"/>
      <c r="D43" s="277"/>
      <c r="E43" s="277"/>
      <c r="F43" s="277"/>
      <c r="G43" s="277"/>
      <c r="H43" s="277"/>
      <c r="I43" s="557"/>
      <c r="J43" s="277"/>
      <c r="K43" s="286"/>
      <c r="N43" s="267" t="s">
        <v>9</v>
      </c>
    </row>
    <row r="44" spans="1:14" ht="18.95" customHeight="1">
      <c r="A44" s="277"/>
      <c r="B44" s="277" t="s">
        <v>450</v>
      </c>
      <c r="C44" s="440">
        <v>4</v>
      </c>
      <c r="D44" s="383" t="s">
        <v>157</v>
      </c>
      <c r="E44" s="385">
        <v>11415</v>
      </c>
      <c r="F44" s="384">
        <f>C44*E44</f>
        <v>45660</v>
      </c>
      <c r="G44" s="385">
        <v>600</v>
      </c>
      <c r="H44" s="385">
        <f>SUM(C44*G44)</f>
        <v>2400</v>
      </c>
      <c r="I44" s="385">
        <f>SUM(F44+H44)</f>
        <v>48060</v>
      </c>
      <c r="J44" s="297"/>
      <c r="K44" s="286"/>
      <c r="M44" s="267" t="s">
        <v>9</v>
      </c>
    </row>
    <row r="45" spans="1:14" ht="18.95" customHeight="1">
      <c r="A45" s="296"/>
      <c r="B45" s="277" t="s">
        <v>464</v>
      </c>
      <c r="C45" s="440">
        <v>4</v>
      </c>
      <c r="D45" s="383" t="s">
        <v>157</v>
      </c>
      <c r="E45" s="385">
        <v>16340</v>
      </c>
      <c r="F45" s="384">
        <f>C45*E45</f>
        <v>65360</v>
      </c>
      <c r="G45" s="385">
        <v>800</v>
      </c>
      <c r="H45" s="385">
        <f>SUM(C45*G45)</f>
        <v>3200</v>
      </c>
      <c r="I45" s="385">
        <f>SUM(F45+H45)</f>
        <v>68560</v>
      </c>
      <c r="J45" s="277"/>
      <c r="K45" s="286"/>
      <c r="M45" s="267" t="s">
        <v>9</v>
      </c>
    </row>
    <row r="46" spans="1:14" ht="18.95" customHeight="1">
      <c r="A46" s="300"/>
      <c r="B46" s="277" t="s">
        <v>465</v>
      </c>
      <c r="C46" s="440">
        <v>1</v>
      </c>
      <c r="D46" s="383" t="s">
        <v>157</v>
      </c>
      <c r="E46" s="385">
        <v>30406</v>
      </c>
      <c r="F46" s="384">
        <f>C46*E46</f>
        <v>30406</v>
      </c>
      <c r="G46" s="476" t="s">
        <v>124</v>
      </c>
      <c r="H46" s="476" t="s">
        <v>124</v>
      </c>
      <c r="I46" s="385">
        <f>SUM(F46)</f>
        <v>30406</v>
      </c>
      <c r="J46" s="277"/>
      <c r="K46" s="286"/>
      <c r="L46" s="424"/>
    </row>
    <row r="47" spans="1:14" ht="18.95" customHeight="1">
      <c r="A47" s="300"/>
      <c r="B47" s="377" t="s">
        <v>466</v>
      </c>
      <c r="C47" s="277"/>
      <c r="D47" s="277"/>
      <c r="E47" s="277"/>
      <c r="F47" s="277"/>
      <c r="G47" s="277"/>
      <c r="H47" s="277"/>
      <c r="I47" s="557"/>
      <c r="J47" s="277"/>
      <c r="K47" s="286"/>
    </row>
    <row r="48" spans="1:14" ht="18.95" customHeight="1">
      <c r="A48" s="300"/>
      <c r="B48" s="277" t="s">
        <v>450</v>
      </c>
      <c r="C48" s="440">
        <v>2</v>
      </c>
      <c r="D48" s="383" t="s">
        <v>157</v>
      </c>
      <c r="E48" s="385">
        <v>10700</v>
      </c>
      <c r="F48" s="384">
        <f>C48*E48</f>
        <v>21400</v>
      </c>
      <c r="G48" s="476" t="s">
        <v>124</v>
      </c>
      <c r="H48" s="476" t="s">
        <v>124</v>
      </c>
      <c r="I48" s="385">
        <f>SUM(F48)</f>
        <v>21400</v>
      </c>
      <c r="J48" s="277"/>
      <c r="K48" s="286"/>
    </row>
    <row r="49" spans="1:14" ht="18.95" customHeight="1">
      <c r="A49" s="300"/>
      <c r="B49" s="277"/>
      <c r="C49" s="440"/>
      <c r="D49" s="383"/>
      <c r="E49" s="385"/>
      <c r="F49" s="384"/>
      <c r="G49" s="564"/>
      <c r="H49" s="476"/>
      <c r="I49" s="386"/>
      <c r="J49" s="277"/>
    </row>
    <row r="50" spans="1:14" ht="18.95" customHeight="1">
      <c r="A50" s="460"/>
      <c r="B50" s="288" t="s">
        <v>18</v>
      </c>
      <c r="C50" s="285"/>
      <c r="D50" s="274"/>
      <c r="E50" s="289"/>
      <c r="F50" s="290">
        <f>SUM(F31:F48)</f>
        <v>219642</v>
      </c>
      <c r="G50" s="291"/>
      <c r="H50" s="290">
        <f>SUM(H38:H46)</f>
        <v>29500</v>
      </c>
      <c r="I50" s="276"/>
      <c r="J50" s="277"/>
      <c r="K50" s="286">
        <f>SUM(F50+H50)</f>
        <v>249142</v>
      </c>
    </row>
    <row r="51" spans="1:14" ht="18.95" customHeight="1">
      <c r="A51" s="460"/>
      <c r="B51" s="278" t="s">
        <v>86</v>
      </c>
      <c r="C51" s="285"/>
      <c r="D51" s="274"/>
      <c r="E51" s="289"/>
      <c r="F51" s="281"/>
      <c r="G51" s="291"/>
      <c r="H51" s="292"/>
      <c r="I51" s="423">
        <f>SUM(I31:I49)</f>
        <v>249142</v>
      </c>
      <c r="J51" s="277"/>
      <c r="K51" s="286"/>
    </row>
    <row r="52" spans="1:14" ht="18.95" customHeight="1">
      <c r="A52" s="278"/>
      <c r="B52" s="643" t="s">
        <v>455</v>
      </c>
      <c r="C52" s="644"/>
      <c r="D52" s="645"/>
      <c r="E52" s="275"/>
      <c r="F52" s="275"/>
      <c r="G52" s="275"/>
      <c r="H52" s="275"/>
      <c r="I52" s="276"/>
      <c r="J52" s="277"/>
      <c r="K52" s="286"/>
      <c r="M52" s="438">
        <f>SUM(I38:I48)</f>
        <v>242032</v>
      </c>
    </row>
    <row r="53" spans="1:14" ht="18.95" customHeight="1">
      <c r="A53" s="278"/>
      <c r="B53" s="430" t="s">
        <v>467</v>
      </c>
      <c r="C53" s="285"/>
      <c r="D53" s="274"/>
      <c r="E53" s="444"/>
      <c r="F53" s="444"/>
      <c r="G53" s="441"/>
      <c r="H53" s="441"/>
      <c r="I53" s="303"/>
      <c r="J53" s="277"/>
      <c r="K53" s="286"/>
    </row>
    <row r="54" spans="1:14" s="283" customFormat="1" ht="18.95" customHeight="1">
      <c r="A54" s="278"/>
      <c r="B54" s="277" t="s">
        <v>722</v>
      </c>
      <c r="C54" s="296">
        <v>2</v>
      </c>
      <c r="D54" s="296" t="s">
        <v>128</v>
      </c>
      <c r="E54" s="441">
        <v>3120</v>
      </c>
      <c r="F54" s="441">
        <f>SUM(E54*C54)</f>
        <v>6240</v>
      </c>
      <c r="G54" s="441">
        <v>800</v>
      </c>
      <c r="H54" s="441">
        <f>SUM(G54*C54)</f>
        <v>1600</v>
      </c>
      <c r="I54" s="303">
        <f>SUM(H54+F54)</f>
        <v>7840</v>
      </c>
      <c r="J54" s="277"/>
      <c r="K54" s="286">
        <f>+H50+F50</f>
        <v>249142</v>
      </c>
      <c r="L54" s="284"/>
    </row>
    <row r="55" spans="1:14" s="283" customFormat="1" ht="18.95" customHeight="1">
      <c r="A55" s="278"/>
      <c r="B55" s="430" t="s">
        <v>468</v>
      </c>
      <c r="C55" s="285"/>
      <c r="D55" s="274"/>
      <c r="E55" s="444"/>
      <c r="F55" s="444"/>
      <c r="G55" s="441"/>
      <c r="H55" s="441"/>
      <c r="I55" s="303"/>
      <c r="J55" s="277"/>
      <c r="L55" s="284"/>
    </row>
    <row r="56" spans="1:14" s="283" customFormat="1" ht="20.100000000000001" customHeight="1">
      <c r="A56" s="278"/>
      <c r="B56" s="277" t="s">
        <v>722</v>
      </c>
      <c r="C56" s="296">
        <v>2</v>
      </c>
      <c r="D56" s="296" t="s">
        <v>128</v>
      </c>
      <c r="E56" s="441">
        <v>14010</v>
      </c>
      <c r="F56" s="441">
        <f>SUM(E56*C56)</f>
        <v>28020</v>
      </c>
      <c r="G56" s="476" t="s">
        <v>124</v>
      </c>
      <c r="H56" s="476" t="s">
        <v>124</v>
      </c>
      <c r="I56" s="303">
        <f>SUM(F56)</f>
        <v>28020</v>
      </c>
      <c r="J56" s="277"/>
      <c r="L56" s="284"/>
      <c r="M56" s="283" t="s">
        <v>9</v>
      </c>
    </row>
    <row r="57" spans="1:14" ht="20.100000000000001" customHeight="1">
      <c r="A57" s="278"/>
      <c r="B57" s="377" t="s">
        <v>453</v>
      </c>
      <c r="C57" s="558"/>
      <c r="D57" s="296"/>
      <c r="E57" s="443"/>
      <c r="F57" s="443"/>
      <c r="G57" s="443"/>
      <c r="H57" s="443"/>
      <c r="I57" s="437"/>
      <c r="J57" s="277"/>
    </row>
    <row r="58" spans="1:14" ht="20.100000000000001" customHeight="1">
      <c r="A58" s="278"/>
      <c r="B58" s="277" t="s">
        <v>719</v>
      </c>
      <c r="C58" s="558">
        <v>2</v>
      </c>
      <c r="D58" s="296" t="s">
        <v>157</v>
      </c>
      <c r="E58" s="443">
        <v>35800</v>
      </c>
      <c r="F58" s="443">
        <f>SUM(E58*C58)</f>
        <v>71600</v>
      </c>
      <c r="G58" s="444" t="s">
        <v>124</v>
      </c>
      <c r="H58" s="444" t="s">
        <v>124</v>
      </c>
      <c r="I58" s="437">
        <f>SUM(F58)</f>
        <v>71600</v>
      </c>
      <c r="J58" s="277"/>
      <c r="M58" s="267" t="s">
        <v>9</v>
      </c>
    </row>
    <row r="59" spans="1:14" ht="20.100000000000001" customHeight="1">
      <c r="A59" s="278"/>
      <c r="B59" s="279" t="s">
        <v>299</v>
      </c>
      <c r="C59" s="558">
        <v>1</v>
      </c>
      <c r="D59" s="296" t="s">
        <v>157</v>
      </c>
      <c r="E59" s="443">
        <v>1200</v>
      </c>
      <c r="F59" s="443">
        <f>SUM(E59*C59)</f>
        <v>1200</v>
      </c>
      <c r="G59" s="444" t="s">
        <v>124</v>
      </c>
      <c r="H59" s="444" t="s">
        <v>124</v>
      </c>
      <c r="I59" s="437">
        <f>SUM(F59)</f>
        <v>1200</v>
      </c>
      <c r="J59" s="277"/>
    </row>
    <row r="60" spans="1:14" ht="20.100000000000001" customHeight="1">
      <c r="A60" s="278"/>
      <c r="B60" s="377" t="s">
        <v>469</v>
      </c>
      <c r="C60" s="558"/>
      <c r="D60" s="296"/>
      <c r="E60" s="444"/>
      <c r="F60" s="444"/>
      <c r="G60" s="443"/>
      <c r="H60" s="443"/>
      <c r="I60" s="437"/>
      <c r="J60" s="277"/>
    </row>
    <row r="61" spans="1:14" s="283" customFormat="1" ht="20.100000000000001" customHeight="1">
      <c r="A61" s="278"/>
      <c r="B61" s="430" t="s">
        <v>447</v>
      </c>
      <c r="C61" s="440"/>
      <c r="D61" s="383"/>
      <c r="E61" s="385"/>
      <c r="F61" s="384"/>
      <c r="G61" s="385"/>
      <c r="H61" s="385"/>
      <c r="I61" s="385"/>
      <c r="J61" s="277"/>
      <c r="L61" s="284"/>
    </row>
    <row r="62" spans="1:14" ht="20.100000000000001" customHeight="1">
      <c r="A62" s="278"/>
      <c r="B62" s="277" t="s">
        <v>470</v>
      </c>
      <c r="C62" s="296">
        <v>56</v>
      </c>
      <c r="D62" s="296" t="s">
        <v>130</v>
      </c>
      <c r="E62" s="441">
        <v>113</v>
      </c>
      <c r="F62" s="441">
        <f t="shared" ref="F62:F69" si="0">SUM(E62*C62)</f>
        <v>6328</v>
      </c>
      <c r="G62" s="441">
        <v>70</v>
      </c>
      <c r="H62" s="441">
        <f t="shared" ref="H62:H67" si="1">SUM(G62*C62)</f>
        <v>3920</v>
      </c>
      <c r="I62" s="303">
        <f t="shared" ref="I62:I67" si="2">SUM(H62+F62)</f>
        <v>10248</v>
      </c>
      <c r="J62" s="277"/>
    </row>
    <row r="63" spans="1:14" ht="20.100000000000001" customHeight="1">
      <c r="A63" s="278"/>
      <c r="B63" s="277" t="s">
        <v>471</v>
      </c>
      <c r="C63" s="296">
        <v>32</v>
      </c>
      <c r="D63" s="296" t="s">
        <v>130</v>
      </c>
      <c r="E63" s="441">
        <v>130</v>
      </c>
      <c r="F63" s="441">
        <f t="shared" si="0"/>
        <v>4160</v>
      </c>
      <c r="G63" s="441">
        <v>80</v>
      </c>
      <c r="H63" s="441">
        <f t="shared" si="1"/>
        <v>2560</v>
      </c>
      <c r="I63" s="303">
        <f t="shared" si="2"/>
        <v>6720</v>
      </c>
      <c r="J63" s="277"/>
      <c r="L63" s="424"/>
      <c r="M63" s="438">
        <f>SUM(I54:I59)</f>
        <v>108660</v>
      </c>
      <c r="N63" s="438">
        <f>SUM(M52+M63)</f>
        <v>350692</v>
      </c>
    </row>
    <row r="64" spans="1:14" ht="20.100000000000001" customHeight="1">
      <c r="A64" s="278"/>
      <c r="B64" s="277" t="s">
        <v>472</v>
      </c>
      <c r="C64" s="296">
        <v>118</v>
      </c>
      <c r="D64" s="296" t="s">
        <v>130</v>
      </c>
      <c r="E64" s="441">
        <v>188</v>
      </c>
      <c r="F64" s="441">
        <f t="shared" si="0"/>
        <v>22184</v>
      </c>
      <c r="G64" s="441">
        <v>110</v>
      </c>
      <c r="H64" s="441">
        <f t="shared" si="1"/>
        <v>12980</v>
      </c>
      <c r="I64" s="303">
        <f t="shared" si="2"/>
        <v>35164</v>
      </c>
      <c r="J64" s="277"/>
      <c r="L64" s="196" t="s">
        <v>9</v>
      </c>
    </row>
    <row r="65" spans="1:13" ht="20.100000000000001" customHeight="1">
      <c r="A65" s="278"/>
      <c r="B65" s="277" t="s">
        <v>473</v>
      </c>
      <c r="C65" s="296">
        <v>70</v>
      </c>
      <c r="D65" s="296" t="s">
        <v>130</v>
      </c>
      <c r="E65" s="441">
        <v>225</v>
      </c>
      <c r="F65" s="441">
        <f t="shared" si="0"/>
        <v>15750</v>
      </c>
      <c r="G65" s="441">
        <v>135</v>
      </c>
      <c r="H65" s="441">
        <f t="shared" si="1"/>
        <v>9450</v>
      </c>
      <c r="I65" s="303">
        <f t="shared" si="2"/>
        <v>25200</v>
      </c>
      <c r="J65" s="277"/>
      <c r="K65" s="286"/>
    </row>
    <row r="66" spans="1:13" ht="20.100000000000001" customHeight="1">
      <c r="A66" s="278"/>
      <c r="B66" s="277" t="s">
        <v>462</v>
      </c>
      <c r="C66" s="296">
        <v>132</v>
      </c>
      <c r="D66" s="296" t="s">
        <v>130</v>
      </c>
      <c r="E66" s="441">
        <v>293</v>
      </c>
      <c r="F66" s="441">
        <f t="shared" si="0"/>
        <v>38676</v>
      </c>
      <c r="G66" s="441">
        <v>175</v>
      </c>
      <c r="H66" s="441">
        <f t="shared" si="1"/>
        <v>23100</v>
      </c>
      <c r="I66" s="303">
        <f t="shared" si="2"/>
        <v>61776</v>
      </c>
      <c r="J66" s="277"/>
      <c r="K66" s="286"/>
      <c r="L66" s="196" t="s">
        <v>9</v>
      </c>
    </row>
    <row r="67" spans="1:13" ht="20.100000000000001" customHeight="1">
      <c r="A67" s="278"/>
      <c r="B67" s="277" t="s">
        <v>448</v>
      </c>
      <c r="C67" s="296">
        <v>32</v>
      </c>
      <c r="D67" s="296" t="s">
        <v>130</v>
      </c>
      <c r="E67" s="441">
        <v>427</v>
      </c>
      <c r="F67" s="441">
        <f t="shared" si="0"/>
        <v>13664</v>
      </c>
      <c r="G67" s="441">
        <v>250</v>
      </c>
      <c r="H67" s="441">
        <f t="shared" si="1"/>
        <v>8000</v>
      </c>
      <c r="I67" s="303">
        <f t="shared" si="2"/>
        <v>21664</v>
      </c>
      <c r="J67" s="277"/>
      <c r="K67" s="286"/>
    </row>
    <row r="68" spans="1:13" ht="20.100000000000001" customHeight="1">
      <c r="A68" s="278"/>
      <c r="B68" s="279" t="s">
        <v>445</v>
      </c>
      <c r="C68" s="296">
        <v>1</v>
      </c>
      <c r="D68" s="296" t="s">
        <v>19</v>
      </c>
      <c r="E68" s="441">
        <v>24500</v>
      </c>
      <c r="F68" s="441">
        <f t="shared" si="0"/>
        <v>24500</v>
      </c>
      <c r="G68" s="442" t="s">
        <v>124</v>
      </c>
      <c r="H68" s="442" t="s">
        <v>124</v>
      </c>
      <c r="I68" s="303">
        <f>SUM(F68)</f>
        <v>24500</v>
      </c>
      <c r="J68" s="277"/>
      <c r="K68" s="286"/>
      <c r="L68" s="196" t="s">
        <v>9</v>
      </c>
      <c r="M68" s="267" t="s">
        <v>9</v>
      </c>
    </row>
    <row r="69" spans="1:13" ht="20.100000000000001" customHeight="1">
      <c r="A69" s="278"/>
      <c r="B69" s="279" t="s">
        <v>446</v>
      </c>
      <c r="C69" s="296">
        <v>1</v>
      </c>
      <c r="D69" s="296" t="s">
        <v>19</v>
      </c>
      <c r="E69" s="441">
        <v>9500</v>
      </c>
      <c r="F69" s="441">
        <f t="shared" si="0"/>
        <v>9500</v>
      </c>
      <c r="G69" s="441">
        <v>2800</v>
      </c>
      <c r="H69" s="441">
        <f>SUM(G69*C69)</f>
        <v>2800</v>
      </c>
      <c r="I69" s="303">
        <f>SUM(H69+F69)</f>
        <v>12300</v>
      </c>
      <c r="J69" s="277"/>
      <c r="K69" s="286"/>
    </row>
    <row r="70" spans="1:13" ht="20.100000000000001" customHeight="1">
      <c r="A70" s="278"/>
      <c r="B70" s="279"/>
      <c r="C70" s="285"/>
      <c r="D70" s="274"/>
      <c r="E70" s="281"/>
      <c r="F70" s="281"/>
      <c r="G70" s="281"/>
      <c r="H70" s="281"/>
      <c r="I70" s="282"/>
      <c r="J70" s="277"/>
      <c r="K70" s="286"/>
    </row>
    <row r="71" spans="1:13" ht="20.100000000000001" customHeight="1">
      <c r="A71" s="460"/>
      <c r="B71" s="288" t="s">
        <v>18</v>
      </c>
      <c r="C71" s="285"/>
      <c r="D71" s="274"/>
      <c r="E71" s="289"/>
      <c r="F71" s="290">
        <f>SUM(F52:F69)</f>
        <v>241822</v>
      </c>
      <c r="G71" s="291"/>
      <c r="H71" s="290">
        <f>SUM(H53:H70)</f>
        <v>64410</v>
      </c>
      <c r="I71" s="276"/>
      <c r="J71" s="277"/>
      <c r="K71" s="286">
        <f>SUM(F71+H71)</f>
        <v>306232</v>
      </c>
    </row>
    <row r="72" spans="1:13" ht="20.100000000000001" customHeight="1">
      <c r="A72" s="460"/>
      <c r="B72" s="278" t="s">
        <v>86</v>
      </c>
      <c r="C72" s="285"/>
      <c r="D72" s="274"/>
      <c r="E72" s="289"/>
      <c r="F72" s="281"/>
      <c r="G72" s="291"/>
      <c r="H72" s="292"/>
      <c r="I72" s="423">
        <f>SUM(I53:I70)</f>
        <v>306232</v>
      </c>
      <c r="J72" s="277"/>
      <c r="K72" s="286"/>
    </row>
    <row r="73" spans="1:13" ht="20.100000000000001" customHeight="1">
      <c r="A73" s="278"/>
      <c r="B73" s="643" t="s">
        <v>455</v>
      </c>
      <c r="C73" s="644"/>
      <c r="D73" s="645"/>
      <c r="E73" s="559"/>
      <c r="F73" s="560"/>
      <c r="G73" s="561"/>
      <c r="H73" s="561"/>
      <c r="I73" s="282"/>
      <c r="J73" s="277"/>
      <c r="K73" s="286"/>
      <c r="M73" s="438">
        <f>SUM(I62:I69)</f>
        <v>197572</v>
      </c>
    </row>
    <row r="74" spans="1:13" ht="20.100000000000001" customHeight="1">
      <c r="A74" s="279"/>
      <c r="B74" s="430" t="s">
        <v>474</v>
      </c>
      <c r="C74" s="285"/>
      <c r="D74" s="274"/>
      <c r="E74" s="444"/>
      <c r="F74" s="444"/>
      <c r="G74" s="441"/>
      <c r="H74" s="441"/>
      <c r="I74" s="303"/>
      <c r="J74" s="277"/>
      <c r="K74" s="286"/>
      <c r="L74" s="424"/>
    </row>
    <row r="75" spans="1:13" s="283" customFormat="1" ht="20.100000000000001" customHeight="1">
      <c r="A75" s="278"/>
      <c r="B75" s="277" t="s">
        <v>722</v>
      </c>
      <c r="C75" s="296">
        <v>1</v>
      </c>
      <c r="D75" s="296" t="s">
        <v>128</v>
      </c>
      <c r="E75" s="441">
        <v>863</v>
      </c>
      <c r="F75" s="441">
        <f>SUM(E75*C75)</f>
        <v>863</v>
      </c>
      <c r="G75" s="442" t="s">
        <v>124</v>
      </c>
      <c r="H75" s="442" t="s">
        <v>124</v>
      </c>
      <c r="I75" s="303">
        <f>SUM(F75)</f>
        <v>863</v>
      </c>
      <c r="J75" s="277"/>
      <c r="K75" s="286">
        <f>SUM(F71+H71)</f>
        <v>306232</v>
      </c>
      <c r="L75" s="284"/>
    </row>
    <row r="76" spans="1:13" s="283" customFormat="1" ht="20.100000000000001" customHeight="1">
      <c r="A76" s="278"/>
      <c r="B76" s="430" t="s">
        <v>467</v>
      </c>
      <c r="C76" s="285"/>
      <c r="D76" s="274"/>
      <c r="E76" s="444"/>
      <c r="F76" s="444"/>
      <c r="G76" s="441"/>
      <c r="H76" s="441"/>
      <c r="I76" s="303"/>
      <c r="J76" s="277"/>
      <c r="L76" s="284"/>
    </row>
    <row r="77" spans="1:13" s="283" customFormat="1" ht="20.100000000000001" customHeight="1">
      <c r="A77" s="278"/>
      <c r="B77" s="277" t="s">
        <v>723</v>
      </c>
      <c r="C77" s="296">
        <v>4</v>
      </c>
      <c r="D77" s="296" t="s">
        <v>128</v>
      </c>
      <c r="E77" s="441">
        <v>1880</v>
      </c>
      <c r="F77" s="441">
        <f>SUM(E77*C77)</f>
        <v>7520</v>
      </c>
      <c r="G77" s="441">
        <v>500</v>
      </c>
      <c r="H77" s="441">
        <f>SUM(G77*C77)</f>
        <v>2000</v>
      </c>
      <c r="I77" s="303">
        <f>SUM(H77+F77)</f>
        <v>9520</v>
      </c>
      <c r="J77" s="277"/>
      <c r="L77" s="284"/>
      <c r="M77" s="283" t="s">
        <v>9</v>
      </c>
    </row>
    <row r="78" spans="1:13" ht="20.100000000000001" customHeight="1">
      <c r="A78" s="278"/>
      <c r="B78" s="277" t="s">
        <v>719</v>
      </c>
      <c r="C78" s="296">
        <v>4</v>
      </c>
      <c r="D78" s="296" t="s">
        <v>128</v>
      </c>
      <c r="E78" s="441">
        <v>2120</v>
      </c>
      <c r="F78" s="441">
        <f>SUM(E78*C78)</f>
        <v>8480</v>
      </c>
      <c r="G78" s="441">
        <v>600</v>
      </c>
      <c r="H78" s="441">
        <f>SUM(G78*C78)</f>
        <v>2400</v>
      </c>
      <c r="I78" s="303">
        <f>SUM(H78+F78)</f>
        <v>10880</v>
      </c>
      <c r="J78" s="277"/>
      <c r="L78" s="196" t="s">
        <v>9</v>
      </c>
    </row>
    <row r="79" spans="1:13" ht="20.100000000000001" customHeight="1">
      <c r="A79" s="278"/>
      <c r="B79" s="377" t="s">
        <v>449</v>
      </c>
      <c r="C79" s="277"/>
      <c r="D79" s="277"/>
      <c r="E79" s="277"/>
      <c r="F79" s="277"/>
      <c r="G79" s="277"/>
      <c r="H79" s="277"/>
      <c r="I79" s="557"/>
      <c r="J79" s="277"/>
    </row>
    <row r="80" spans="1:13" ht="20.100000000000001" customHeight="1">
      <c r="A80" s="278"/>
      <c r="B80" s="277" t="s">
        <v>475</v>
      </c>
      <c r="C80" s="440">
        <v>4</v>
      </c>
      <c r="D80" s="383" t="s">
        <v>157</v>
      </c>
      <c r="E80" s="385">
        <v>3565</v>
      </c>
      <c r="F80" s="384">
        <f>C80*E80</f>
        <v>14260</v>
      </c>
      <c r="G80" s="385">
        <v>400</v>
      </c>
      <c r="H80" s="385">
        <f>SUM(C80*G80)</f>
        <v>1600</v>
      </c>
      <c r="I80" s="385">
        <f>SUM(F80+H80)</f>
        <v>15860</v>
      </c>
      <c r="J80" s="277"/>
    </row>
    <row r="81" spans="1:14" ht="20.100000000000001" customHeight="1">
      <c r="A81" s="460"/>
      <c r="B81" s="277" t="s">
        <v>476</v>
      </c>
      <c r="C81" s="440">
        <v>12</v>
      </c>
      <c r="D81" s="383" t="s">
        <v>157</v>
      </c>
      <c r="E81" s="385">
        <v>5850</v>
      </c>
      <c r="F81" s="384">
        <f>C81*E81</f>
        <v>70200</v>
      </c>
      <c r="G81" s="385">
        <v>500</v>
      </c>
      <c r="H81" s="385">
        <f>SUM(C81*G81)</f>
        <v>6000</v>
      </c>
      <c r="I81" s="385">
        <f>SUM(F81+H81)</f>
        <v>76200</v>
      </c>
      <c r="J81" s="277"/>
    </row>
    <row r="82" spans="1:14" ht="20.100000000000001" customHeight="1">
      <c r="A82" s="460"/>
      <c r="B82" s="277" t="s">
        <v>450</v>
      </c>
      <c r="C82" s="440">
        <v>8</v>
      </c>
      <c r="D82" s="383" t="s">
        <v>157</v>
      </c>
      <c r="E82" s="385">
        <v>11415</v>
      </c>
      <c r="F82" s="384">
        <f>C82*E82</f>
        <v>91320</v>
      </c>
      <c r="G82" s="385">
        <v>600</v>
      </c>
      <c r="H82" s="385">
        <f>SUM(C82*G82)</f>
        <v>4800</v>
      </c>
      <c r="I82" s="385">
        <f>SUM(F82+H82)</f>
        <v>96120</v>
      </c>
      <c r="J82" s="277"/>
    </row>
    <row r="83" spans="1:14" s="283" customFormat="1" ht="20.100000000000001" customHeight="1">
      <c r="A83" s="460"/>
      <c r="B83" s="277" t="s">
        <v>464</v>
      </c>
      <c r="C83" s="440">
        <v>8</v>
      </c>
      <c r="D83" s="383" t="s">
        <v>157</v>
      </c>
      <c r="E83" s="385">
        <v>16340</v>
      </c>
      <c r="F83" s="384">
        <f>C83*E83</f>
        <v>130720</v>
      </c>
      <c r="G83" s="385">
        <v>800</v>
      </c>
      <c r="H83" s="385">
        <f>SUM(C83*G83)</f>
        <v>6400</v>
      </c>
      <c r="I83" s="385">
        <f>SUM(F83+H83)</f>
        <v>137120</v>
      </c>
      <c r="J83" s="277"/>
      <c r="L83" s="284"/>
    </row>
    <row r="84" spans="1:14" s="283" customFormat="1" ht="20.100000000000001" customHeight="1">
      <c r="A84" s="296"/>
      <c r="B84" s="377" t="s">
        <v>466</v>
      </c>
      <c r="C84" s="277"/>
      <c r="D84" s="277"/>
      <c r="E84" s="277"/>
      <c r="F84" s="277"/>
      <c r="G84" s="277"/>
      <c r="H84" s="277"/>
      <c r="I84" s="557"/>
      <c r="J84" s="277"/>
      <c r="L84" s="284"/>
    </row>
    <row r="85" spans="1:14" ht="20.100000000000001" customHeight="1">
      <c r="A85" s="277"/>
      <c r="B85" s="277" t="s">
        <v>476</v>
      </c>
      <c r="C85" s="440">
        <v>10</v>
      </c>
      <c r="D85" s="383" t="s">
        <v>157</v>
      </c>
      <c r="E85" s="385">
        <v>3860</v>
      </c>
      <c r="F85" s="384">
        <f>C85*E85</f>
        <v>38600</v>
      </c>
      <c r="G85" s="476" t="s">
        <v>124</v>
      </c>
      <c r="H85" s="476" t="s">
        <v>124</v>
      </c>
      <c r="I85" s="385">
        <f>SUM(F85)</f>
        <v>38600</v>
      </c>
      <c r="J85" s="277"/>
      <c r="K85" s="286"/>
      <c r="M85" s="267" t="s">
        <v>9</v>
      </c>
    </row>
    <row r="86" spans="1:14" ht="20.100000000000001" customHeight="1">
      <c r="A86" s="277"/>
      <c r="B86" s="430" t="s">
        <v>468</v>
      </c>
      <c r="C86" s="285"/>
      <c r="D86" s="274"/>
      <c r="E86" s="444"/>
      <c r="F86" s="444"/>
      <c r="G86" s="441"/>
      <c r="H86" s="441"/>
      <c r="I86" s="303"/>
      <c r="J86" s="297"/>
      <c r="K86" s="286"/>
      <c r="M86" s="267" t="s">
        <v>9</v>
      </c>
    </row>
    <row r="87" spans="1:14" ht="20.100000000000001" customHeight="1">
      <c r="A87" s="296"/>
      <c r="B87" s="277" t="s">
        <v>719</v>
      </c>
      <c r="C87" s="296">
        <v>2</v>
      </c>
      <c r="D87" s="296" t="s">
        <v>128</v>
      </c>
      <c r="E87" s="441">
        <v>10020</v>
      </c>
      <c r="F87" s="441">
        <f>SUM(E87*C87)</f>
        <v>20040</v>
      </c>
      <c r="G87" s="476" t="s">
        <v>124</v>
      </c>
      <c r="H87" s="476" t="s">
        <v>124</v>
      </c>
      <c r="I87" s="303">
        <f>SUM(F87)</f>
        <v>20040</v>
      </c>
      <c r="J87" s="277"/>
      <c r="K87" s="286"/>
    </row>
    <row r="88" spans="1:14" ht="20.100000000000001" customHeight="1">
      <c r="A88" s="300"/>
      <c r="B88" s="430" t="s">
        <v>477</v>
      </c>
      <c r="C88" s="392"/>
      <c r="D88" s="392"/>
      <c r="E88" s="443"/>
      <c r="F88" s="443"/>
      <c r="G88" s="443"/>
      <c r="H88" s="443"/>
      <c r="I88" s="565"/>
      <c r="J88" s="277"/>
      <c r="K88" s="286"/>
      <c r="L88" s="424" t="s">
        <v>9</v>
      </c>
    </row>
    <row r="89" spans="1:14" ht="20.100000000000001" customHeight="1">
      <c r="A89" s="300"/>
      <c r="B89" s="566" t="s">
        <v>478</v>
      </c>
      <c r="C89" s="285"/>
      <c r="D89" s="274"/>
      <c r="E89" s="281"/>
      <c r="F89" s="281"/>
      <c r="G89" s="281"/>
      <c r="H89" s="281"/>
      <c r="I89" s="282"/>
      <c r="J89" s="277"/>
      <c r="K89" s="286"/>
    </row>
    <row r="90" spans="1:14" ht="20.100000000000001" customHeight="1">
      <c r="A90" s="300"/>
      <c r="B90" s="277" t="s">
        <v>479</v>
      </c>
      <c r="C90" s="567">
        <v>2336</v>
      </c>
      <c r="D90" s="296" t="s">
        <v>130</v>
      </c>
      <c r="E90" s="441">
        <v>14</v>
      </c>
      <c r="F90" s="441">
        <f>SUM(E90*C90)</f>
        <v>32704</v>
      </c>
      <c r="G90" s="441">
        <v>30</v>
      </c>
      <c r="H90" s="441">
        <f>SUM(G90*C90)</f>
        <v>70080</v>
      </c>
      <c r="I90" s="303">
        <f>SUM(H90+F90)</f>
        <v>102784</v>
      </c>
      <c r="J90" s="277"/>
      <c r="K90" s="286"/>
    </row>
    <row r="91" spans="1:14" ht="20.100000000000001" customHeight="1">
      <c r="A91" s="300"/>
      <c r="B91" s="277" t="s">
        <v>480</v>
      </c>
      <c r="C91" s="296">
        <v>352</v>
      </c>
      <c r="D91" s="296" t="s">
        <v>130</v>
      </c>
      <c r="E91" s="441">
        <v>16</v>
      </c>
      <c r="F91" s="441">
        <f>SUM(E91*C91)</f>
        <v>5632</v>
      </c>
      <c r="G91" s="441">
        <v>30</v>
      </c>
      <c r="H91" s="441">
        <f>SUM(G91*C91)</f>
        <v>10560</v>
      </c>
      <c r="I91" s="303">
        <f>SUM(H91+F91)</f>
        <v>16192</v>
      </c>
      <c r="J91" s="277"/>
      <c r="M91" s="438">
        <f>SUM(I75:I87)</f>
        <v>405203</v>
      </c>
      <c r="N91" s="438">
        <f>SUM(M73+M91)</f>
        <v>602775</v>
      </c>
    </row>
    <row r="92" spans="1:14" ht="20.100000000000001" customHeight="1">
      <c r="A92" s="460"/>
      <c r="B92" s="288" t="s">
        <v>18</v>
      </c>
      <c r="C92" s="285"/>
      <c r="D92" s="274"/>
      <c r="E92" s="289"/>
      <c r="F92" s="290">
        <f>SUM(F73:F91)</f>
        <v>420339</v>
      </c>
      <c r="G92" s="291"/>
      <c r="H92" s="290">
        <f>SUM(H74:H91)</f>
        <v>103840</v>
      </c>
      <c r="I92" s="276"/>
      <c r="J92" s="277"/>
      <c r="K92" s="438">
        <f>SUM(F92+H92)</f>
        <v>524179</v>
      </c>
    </row>
    <row r="93" spans="1:14" ht="20.100000000000001" customHeight="1">
      <c r="A93" s="460"/>
      <c r="B93" s="278" t="s">
        <v>86</v>
      </c>
      <c r="C93" s="285"/>
      <c r="D93" s="274"/>
      <c r="E93" s="289"/>
      <c r="F93" s="281"/>
      <c r="G93" s="291"/>
      <c r="H93" s="292"/>
      <c r="I93" s="423">
        <f>SUM(I73:I91)</f>
        <v>524179</v>
      </c>
      <c r="J93" s="277"/>
    </row>
    <row r="94" spans="1:14" ht="20.100000000000001" customHeight="1">
      <c r="A94" s="278"/>
      <c r="B94" s="643" t="s">
        <v>455</v>
      </c>
      <c r="C94" s="644"/>
      <c r="D94" s="645"/>
      <c r="E94" s="275"/>
      <c r="F94" s="275"/>
      <c r="G94" s="275"/>
      <c r="H94" s="275"/>
      <c r="I94" s="276"/>
      <c r="J94" s="277"/>
    </row>
    <row r="95" spans="1:14" ht="20.100000000000001" customHeight="1">
      <c r="A95" s="278"/>
      <c r="B95" s="430" t="s">
        <v>477</v>
      </c>
      <c r="C95" s="392"/>
      <c r="D95" s="392"/>
      <c r="E95" s="443"/>
      <c r="F95" s="443"/>
      <c r="G95" s="443"/>
      <c r="H95" s="443"/>
      <c r="I95" s="565"/>
      <c r="J95" s="277"/>
      <c r="K95" s="286"/>
      <c r="M95" s="438">
        <f>SUM(I90:I91)</f>
        <v>118976</v>
      </c>
      <c r="N95" s="438"/>
    </row>
    <row r="96" spans="1:14" s="283" customFormat="1" ht="20.100000000000001" customHeight="1">
      <c r="A96" s="278"/>
      <c r="B96" s="279" t="s">
        <v>445</v>
      </c>
      <c r="C96" s="296">
        <v>1</v>
      </c>
      <c r="D96" s="296" t="s">
        <v>19</v>
      </c>
      <c r="E96" s="441">
        <v>12900</v>
      </c>
      <c r="F96" s="441">
        <f>SUM(E96*C96)</f>
        <v>12900</v>
      </c>
      <c r="G96" s="442" t="s">
        <v>124</v>
      </c>
      <c r="H96" s="442" t="s">
        <v>124</v>
      </c>
      <c r="I96" s="303">
        <f>SUM(F96)</f>
        <v>12900</v>
      </c>
      <c r="J96" s="277"/>
      <c r="K96" s="286">
        <f>+H92+F92</f>
        <v>524179</v>
      </c>
      <c r="L96" s="284"/>
    </row>
    <row r="97" spans="1:14" s="283" customFormat="1" ht="20.100000000000001" customHeight="1">
      <c r="A97" s="278"/>
      <c r="B97" s="279" t="s">
        <v>446</v>
      </c>
      <c r="C97" s="296">
        <v>1</v>
      </c>
      <c r="D97" s="296" t="s">
        <v>19</v>
      </c>
      <c r="E97" s="441">
        <v>3300</v>
      </c>
      <c r="F97" s="441">
        <f>SUM(E97*C97)</f>
        <v>3300</v>
      </c>
      <c r="G97" s="441">
        <v>1000</v>
      </c>
      <c r="H97" s="441">
        <f>SUM(G97*C97)</f>
        <v>1000</v>
      </c>
      <c r="I97" s="303">
        <f>SUM(H97+F97)</f>
        <v>4300</v>
      </c>
      <c r="J97" s="277"/>
      <c r="L97" s="284"/>
    </row>
    <row r="98" spans="1:14" s="283" customFormat="1" ht="20.100000000000001" customHeight="1">
      <c r="A98" s="278"/>
      <c r="B98" s="377" t="s">
        <v>481</v>
      </c>
      <c r="C98" s="296"/>
      <c r="D98" s="296"/>
      <c r="E98" s="443"/>
      <c r="F98" s="443"/>
      <c r="G98" s="443"/>
      <c r="H98" s="443"/>
      <c r="I98" s="437"/>
      <c r="J98" s="277"/>
      <c r="L98" s="284"/>
    </row>
    <row r="99" spans="1:14" ht="20.100000000000001" customHeight="1">
      <c r="A99" s="278"/>
      <c r="B99" s="277" t="s">
        <v>479</v>
      </c>
      <c r="C99" s="296">
        <v>256</v>
      </c>
      <c r="D99" s="296" t="s">
        <v>157</v>
      </c>
      <c r="E99" s="443">
        <v>250</v>
      </c>
      <c r="F99" s="443">
        <f>SUM(E99*C99)</f>
        <v>64000</v>
      </c>
      <c r="G99" s="443">
        <v>50</v>
      </c>
      <c r="H99" s="443">
        <f>SUM(G99*C99)</f>
        <v>12800</v>
      </c>
      <c r="I99" s="437">
        <f>SUM(H99+F99)</f>
        <v>76800</v>
      </c>
      <c r="J99" s="277"/>
      <c r="M99" s="267" t="s">
        <v>9</v>
      </c>
    </row>
    <row r="100" spans="1:14" ht="20.100000000000001" customHeight="1">
      <c r="A100" s="278"/>
      <c r="B100" s="377" t="s">
        <v>451</v>
      </c>
      <c r="C100" s="467"/>
      <c r="D100" s="296"/>
      <c r="E100" s="443"/>
      <c r="F100" s="443"/>
      <c r="G100" s="443"/>
      <c r="H100" s="443"/>
      <c r="I100" s="437"/>
      <c r="J100" s="277"/>
    </row>
    <row r="101" spans="1:14" ht="20.100000000000001" customHeight="1">
      <c r="A101" s="278"/>
      <c r="B101" s="277" t="s">
        <v>479</v>
      </c>
      <c r="C101" s="467">
        <v>64</v>
      </c>
      <c r="D101" s="296" t="s">
        <v>157</v>
      </c>
      <c r="E101" s="443">
        <v>955</v>
      </c>
      <c r="F101" s="443">
        <f>SUM(E101*C101)</f>
        <v>61120</v>
      </c>
      <c r="G101" s="443">
        <v>100</v>
      </c>
      <c r="H101" s="443">
        <f>SUM(G101*C101)</f>
        <v>6400</v>
      </c>
      <c r="I101" s="437">
        <f>SUM(H101+F101)</f>
        <v>67520</v>
      </c>
      <c r="J101" s="277"/>
    </row>
    <row r="102" spans="1:14" s="283" customFormat="1" ht="20.100000000000001" customHeight="1">
      <c r="A102" s="278"/>
      <c r="B102" s="377" t="s">
        <v>449</v>
      </c>
      <c r="C102" s="277"/>
      <c r="D102" s="277"/>
      <c r="E102" s="277"/>
      <c r="F102" s="277"/>
      <c r="G102" s="277"/>
      <c r="H102" s="277"/>
      <c r="I102" s="557"/>
      <c r="J102" s="277"/>
      <c r="L102" s="284"/>
      <c r="N102" s="283" t="s">
        <v>9</v>
      </c>
    </row>
    <row r="103" spans="1:14" ht="20.100000000000001" customHeight="1">
      <c r="A103" s="278"/>
      <c r="B103" s="277" t="s">
        <v>482</v>
      </c>
      <c r="C103" s="467">
        <v>128</v>
      </c>
      <c r="D103" s="296" t="s">
        <v>296</v>
      </c>
      <c r="E103" s="443">
        <v>780</v>
      </c>
      <c r="F103" s="443">
        <f>SUM(E103*C103)</f>
        <v>99840</v>
      </c>
      <c r="G103" s="443">
        <v>150</v>
      </c>
      <c r="H103" s="443">
        <f>SUM(G103*C103)</f>
        <v>19200</v>
      </c>
      <c r="I103" s="437">
        <f>SUM(H103+F103)</f>
        <v>119040</v>
      </c>
      <c r="J103" s="277"/>
    </row>
    <row r="104" spans="1:14" ht="20.100000000000001" customHeight="1">
      <c r="A104" s="278"/>
      <c r="B104" s="568" t="s">
        <v>483</v>
      </c>
      <c r="C104" s="285"/>
      <c r="D104" s="274"/>
      <c r="E104" s="289"/>
      <c r="F104" s="281"/>
      <c r="G104" s="569"/>
      <c r="H104" s="569"/>
      <c r="I104" s="276"/>
      <c r="J104" s="277"/>
      <c r="L104" s="424"/>
      <c r="N104" s="267" t="s">
        <v>9</v>
      </c>
    </row>
    <row r="105" spans="1:14" ht="20.100000000000001" customHeight="1">
      <c r="A105" s="278"/>
      <c r="B105" s="277" t="s">
        <v>479</v>
      </c>
      <c r="C105" s="467">
        <v>128</v>
      </c>
      <c r="D105" s="296" t="s">
        <v>296</v>
      </c>
      <c r="E105" s="443">
        <v>129</v>
      </c>
      <c r="F105" s="443">
        <f>SUM(E105*C105)</f>
        <v>16512</v>
      </c>
      <c r="G105" s="443">
        <v>50</v>
      </c>
      <c r="H105" s="443">
        <f>SUM(G105*C105)</f>
        <v>6400</v>
      </c>
      <c r="I105" s="437">
        <f>SUM(H105+F105)</f>
        <v>22912</v>
      </c>
      <c r="J105" s="277"/>
      <c r="M105" s="267" t="s">
        <v>9</v>
      </c>
    </row>
    <row r="106" spans="1:14" ht="20.100000000000001" customHeight="1">
      <c r="A106" s="278"/>
      <c r="B106" s="277" t="s">
        <v>666</v>
      </c>
      <c r="C106" s="440">
        <v>2</v>
      </c>
      <c r="D106" s="383" t="s">
        <v>300</v>
      </c>
      <c r="E106" s="472" t="s">
        <v>124</v>
      </c>
      <c r="F106" s="472" t="s">
        <v>124</v>
      </c>
      <c r="G106" s="443">
        <v>10000</v>
      </c>
      <c r="H106" s="443">
        <f>SUM(G106*C106)</f>
        <v>20000</v>
      </c>
      <c r="I106" s="437">
        <f>SUM(H106)</f>
        <v>20000</v>
      </c>
      <c r="J106" s="277"/>
      <c r="K106" s="286"/>
      <c r="L106" s="196" t="s">
        <v>9</v>
      </c>
      <c r="M106" s="267" t="s">
        <v>9</v>
      </c>
    </row>
    <row r="107" spans="1:14" ht="20.100000000000001" customHeight="1">
      <c r="A107" s="278"/>
      <c r="B107" s="277" t="s">
        <v>667</v>
      </c>
      <c r="C107" s="389">
        <v>2</v>
      </c>
      <c r="D107" s="296" t="s">
        <v>300</v>
      </c>
      <c r="E107" s="472" t="s">
        <v>124</v>
      </c>
      <c r="F107" s="472" t="s">
        <v>124</v>
      </c>
      <c r="G107" s="443">
        <v>5000</v>
      </c>
      <c r="H107" s="443">
        <f>SUM(G107*C107)</f>
        <v>10000</v>
      </c>
      <c r="I107" s="437">
        <f t="shared" ref="I107" si="3">SUM(H107)</f>
        <v>10000</v>
      </c>
      <c r="J107" s="277"/>
      <c r="K107" s="286"/>
    </row>
    <row r="108" spans="1:14" ht="20.100000000000001" customHeight="1">
      <c r="A108" s="278"/>
      <c r="B108" s="277" t="s">
        <v>676</v>
      </c>
      <c r="C108" s="389">
        <v>1</v>
      </c>
      <c r="D108" s="296" t="s">
        <v>271</v>
      </c>
      <c r="E108" s="388">
        <v>50000</v>
      </c>
      <c r="F108" s="388">
        <f>SUM(C108*E108)</f>
        <v>50000</v>
      </c>
      <c r="G108" s="570" t="s">
        <v>298</v>
      </c>
      <c r="H108" s="571" t="s">
        <v>173</v>
      </c>
      <c r="I108" s="572">
        <f>SUM(F108)</f>
        <v>50000</v>
      </c>
      <c r="J108" s="277"/>
      <c r="K108" s="286"/>
      <c r="L108" s="196" t="s">
        <v>9</v>
      </c>
      <c r="M108" s="438">
        <f>SUM(I96:I105)</f>
        <v>303472</v>
      </c>
      <c r="N108" s="438">
        <f>SUM(M95+M108)</f>
        <v>422448</v>
      </c>
    </row>
    <row r="109" spans="1:14" ht="20.100000000000001" customHeight="1">
      <c r="A109" s="278"/>
      <c r="B109" s="277" t="s">
        <v>301</v>
      </c>
      <c r="C109" s="389"/>
      <c r="D109" s="296"/>
      <c r="E109" s="388"/>
      <c r="F109" s="388"/>
      <c r="G109" s="390"/>
      <c r="H109" s="390"/>
      <c r="I109" s="572"/>
      <c r="J109" s="277"/>
      <c r="K109" s="286"/>
    </row>
    <row r="110" spans="1:14" ht="20.100000000000001" customHeight="1">
      <c r="A110" s="278"/>
      <c r="B110" s="277" t="s">
        <v>302</v>
      </c>
      <c r="C110" s="389">
        <v>1</v>
      </c>
      <c r="D110" s="296" t="s">
        <v>19</v>
      </c>
      <c r="E110" s="388">
        <v>140000</v>
      </c>
      <c r="F110" s="388">
        <f>SUM(C110*E110)</f>
        <v>140000</v>
      </c>
      <c r="G110" s="570" t="s">
        <v>298</v>
      </c>
      <c r="H110" s="571" t="s">
        <v>173</v>
      </c>
      <c r="I110" s="572">
        <f>SUM(F110)</f>
        <v>140000</v>
      </c>
      <c r="J110" s="277"/>
      <c r="K110" s="286"/>
    </row>
    <row r="111" spans="1:14" ht="20.100000000000001" customHeight="1">
      <c r="A111" s="278"/>
      <c r="B111" s="277"/>
      <c r="C111" s="389"/>
      <c r="D111" s="296"/>
      <c r="E111" s="388"/>
      <c r="F111" s="388"/>
      <c r="G111" s="570"/>
      <c r="H111" s="571"/>
      <c r="I111" s="572"/>
      <c r="J111" s="277"/>
      <c r="K111" s="286"/>
    </row>
    <row r="112" spans="1:14" ht="20.100000000000001" customHeight="1">
      <c r="A112" s="278"/>
      <c r="B112" s="279"/>
      <c r="C112" s="285"/>
      <c r="D112" s="274"/>
      <c r="E112" s="281"/>
      <c r="F112" s="281"/>
      <c r="G112" s="281"/>
      <c r="H112" s="281"/>
      <c r="I112" s="282"/>
      <c r="J112" s="277"/>
      <c r="K112" s="286"/>
      <c r="M112" s="267" t="s">
        <v>9</v>
      </c>
      <c r="N112" s="267" t="s">
        <v>9</v>
      </c>
    </row>
    <row r="113" spans="1:15" ht="20.100000000000001" customHeight="1">
      <c r="A113" s="460"/>
      <c r="B113" s="288" t="s">
        <v>18</v>
      </c>
      <c r="C113" s="285"/>
      <c r="D113" s="274"/>
      <c r="E113" s="289"/>
      <c r="F113" s="290">
        <f>SUM(F95:F110)</f>
        <v>447672</v>
      </c>
      <c r="G113" s="291"/>
      <c r="H113" s="290">
        <f>SUM(H95:H110)</f>
        <v>75800</v>
      </c>
      <c r="I113" s="276"/>
      <c r="J113" s="277"/>
      <c r="K113" s="286">
        <f>SUM(F113+H113)</f>
        <v>523472</v>
      </c>
    </row>
    <row r="114" spans="1:15" ht="20.100000000000001" customHeight="1">
      <c r="A114" s="460"/>
      <c r="B114" s="278" t="s">
        <v>86</v>
      </c>
      <c r="C114" s="285"/>
      <c r="D114" s="274"/>
      <c r="E114" s="289"/>
      <c r="F114" s="281"/>
      <c r="G114" s="291"/>
      <c r="H114" s="292"/>
      <c r="I114" s="423">
        <f>SUM(I95:I110)</f>
        <v>523472</v>
      </c>
      <c r="J114" s="277"/>
      <c r="K114" s="286"/>
    </row>
    <row r="115" spans="1:15" ht="20.100000000000001" customHeight="1">
      <c r="A115" s="278"/>
      <c r="B115" s="643" t="s">
        <v>455</v>
      </c>
      <c r="C115" s="644"/>
      <c r="D115" s="645"/>
      <c r="E115" s="559"/>
      <c r="F115" s="560"/>
      <c r="G115" s="561"/>
      <c r="H115" s="561"/>
      <c r="I115" s="282"/>
      <c r="J115" s="277"/>
      <c r="K115" s="286"/>
      <c r="M115" s="267" t="s">
        <v>359</v>
      </c>
      <c r="N115" s="438">
        <f>SUM(I106:I110)</f>
        <v>220000</v>
      </c>
    </row>
    <row r="116" spans="1:15" ht="20.100000000000001" customHeight="1">
      <c r="A116" s="278"/>
      <c r="B116" s="473" t="s">
        <v>486</v>
      </c>
      <c r="C116" s="440"/>
      <c r="D116" s="383"/>
      <c r="E116" s="385"/>
      <c r="F116" s="384"/>
      <c r="G116" s="472"/>
      <c r="H116" s="472"/>
      <c r="I116" s="376"/>
      <c r="J116" s="277"/>
      <c r="K116" s="286"/>
      <c r="L116" s="424"/>
    </row>
    <row r="117" spans="1:15" s="283" customFormat="1" ht="20.100000000000001" customHeight="1">
      <c r="A117" s="278"/>
      <c r="B117" s="387" t="s">
        <v>670</v>
      </c>
      <c r="C117" s="440">
        <v>2</v>
      </c>
      <c r="D117" s="383" t="s">
        <v>128</v>
      </c>
      <c r="E117" s="472" t="s">
        <v>124</v>
      </c>
      <c r="F117" s="472" t="s">
        <v>124</v>
      </c>
      <c r="G117" s="443">
        <v>5000</v>
      </c>
      <c r="H117" s="443">
        <f>SUM(G117*C117)</f>
        <v>10000</v>
      </c>
      <c r="I117" s="437">
        <f>SUM(H117)</f>
        <v>10000</v>
      </c>
      <c r="J117" s="277"/>
      <c r="K117" s="286">
        <f>SUM(F113+H113)</f>
        <v>523472</v>
      </c>
      <c r="L117" s="284" t="s">
        <v>9</v>
      </c>
      <c r="M117" s="283" t="s">
        <v>9</v>
      </c>
    </row>
    <row r="118" spans="1:15" s="283" customFormat="1" ht="20.100000000000001" customHeight="1">
      <c r="A118" s="278"/>
      <c r="B118" s="387" t="s">
        <v>669</v>
      </c>
      <c r="C118" s="440"/>
      <c r="D118" s="383"/>
      <c r="E118" s="385"/>
      <c r="F118" s="384"/>
      <c r="G118" s="472"/>
      <c r="H118" s="472"/>
      <c r="I118" s="386"/>
      <c r="J118" s="277"/>
      <c r="K118" s="286"/>
      <c r="L118" s="284"/>
    </row>
    <row r="119" spans="1:15" s="283" customFormat="1" ht="20.100000000000001" customHeight="1">
      <c r="A119" s="279"/>
      <c r="B119" s="387" t="s">
        <v>671</v>
      </c>
      <c r="C119" s="474">
        <v>1</v>
      </c>
      <c r="D119" s="383" t="s">
        <v>19</v>
      </c>
      <c r="E119" s="472" t="s">
        <v>124</v>
      </c>
      <c r="F119" s="472" t="s">
        <v>124</v>
      </c>
      <c r="G119" s="443">
        <v>5000</v>
      </c>
      <c r="H119" s="443">
        <f>SUM(G119*C119)</f>
        <v>5000</v>
      </c>
      <c r="I119" s="437">
        <f>SUM(H119)</f>
        <v>5000</v>
      </c>
      <c r="J119" s="277"/>
      <c r="L119" s="284"/>
      <c r="M119" s="283" t="s">
        <v>9</v>
      </c>
    </row>
    <row r="120" spans="1:15" s="283" customFormat="1" ht="20.100000000000001" customHeight="1">
      <c r="A120" s="279"/>
      <c r="B120" s="387" t="s">
        <v>690</v>
      </c>
      <c r="C120" s="440"/>
      <c r="D120" s="383"/>
      <c r="E120" s="385"/>
      <c r="F120" s="384"/>
      <c r="G120" s="472"/>
      <c r="H120" s="472"/>
      <c r="I120" s="376"/>
      <c r="J120" s="277"/>
      <c r="L120" s="284"/>
    </row>
    <row r="121" spans="1:15" s="283" customFormat="1" ht="20.100000000000001" customHeight="1">
      <c r="A121" s="278"/>
      <c r="B121" s="277" t="s">
        <v>691</v>
      </c>
      <c r="C121" s="296">
        <v>2</v>
      </c>
      <c r="D121" s="296" t="s">
        <v>128</v>
      </c>
      <c r="E121" s="443">
        <v>5200</v>
      </c>
      <c r="F121" s="443">
        <f>SUM(E121*C121)</f>
        <v>10400</v>
      </c>
      <c r="G121" s="442" t="s">
        <v>124</v>
      </c>
      <c r="H121" s="442" t="s">
        <v>124</v>
      </c>
      <c r="I121" s="437">
        <f>SUM(F121)</f>
        <v>10400</v>
      </c>
      <c r="J121" s="277"/>
      <c r="L121" s="284"/>
    </row>
    <row r="122" spans="1:15" s="283" customFormat="1" ht="20.100000000000001" customHeight="1">
      <c r="A122" s="278"/>
      <c r="B122" s="277" t="s">
        <v>692</v>
      </c>
      <c r="C122" s="296">
        <v>2</v>
      </c>
      <c r="D122" s="296" t="s">
        <v>128</v>
      </c>
      <c r="E122" s="443">
        <v>5985</v>
      </c>
      <c r="F122" s="443">
        <f>SUM(E122*C122)</f>
        <v>11970</v>
      </c>
      <c r="G122" s="442" t="s">
        <v>124</v>
      </c>
      <c r="H122" s="442" t="s">
        <v>124</v>
      </c>
      <c r="I122" s="437">
        <f>SUM(F122)</f>
        <v>11970</v>
      </c>
      <c r="J122" s="277"/>
      <c r="L122" s="284"/>
    </row>
    <row r="123" spans="1:15" ht="20.100000000000001" customHeight="1">
      <c r="A123" s="278"/>
      <c r="B123" s="277" t="s">
        <v>685</v>
      </c>
      <c r="C123" s="296">
        <v>2</v>
      </c>
      <c r="D123" s="296" t="s">
        <v>128</v>
      </c>
      <c r="E123" s="443">
        <v>13295</v>
      </c>
      <c r="F123" s="443">
        <f>SUM(E123*C123)</f>
        <v>26590</v>
      </c>
      <c r="G123" s="442" t="s">
        <v>124</v>
      </c>
      <c r="H123" s="442" t="s">
        <v>124</v>
      </c>
      <c r="I123" s="437">
        <f>SUM(F123)</f>
        <v>26590</v>
      </c>
      <c r="J123" s="277"/>
    </row>
    <row r="124" spans="1:15" ht="20.100000000000001" customHeight="1">
      <c r="A124" s="278"/>
      <c r="B124" s="277" t="s">
        <v>693</v>
      </c>
      <c r="C124" s="296">
        <v>1</v>
      </c>
      <c r="D124" s="296" t="s">
        <v>128</v>
      </c>
      <c r="E124" s="443">
        <v>3623</v>
      </c>
      <c r="F124" s="443">
        <f>SUM(E124*C124)</f>
        <v>3623</v>
      </c>
      <c r="G124" s="442" t="s">
        <v>124</v>
      </c>
      <c r="H124" s="442" t="s">
        <v>124</v>
      </c>
      <c r="I124" s="437">
        <f>SUM(F124)</f>
        <v>3623</v>
      </c>
      <c r="J124" s="277"/>
    </row>
    <row r="125" spans="1:15" ht="20.100000000000001" customHeight="1">
      <c r="A125" s="278"/>
      <c r="B125" s="279" t="s">
        <v>694</v>
      </c>
      <c r="C125" s="296">
        <v>2</v>
      </c>
      <c r="D125" s="296" t="s">
        <v>128</v>
      </c>
      <c r="E125" s="443">
        <v>14010</v>
      </c>
      <c r="F125" s="443">
        <f>SUM(E125*C125)</f>
        <v>28020</v>
      </c>
      <c r="G125" s="442" t="s">
        <v>124</v>
      </c>
      <c r="H125" s="442" t="s">
        <v>124</v>
      </c>
      <c r="I125" s="437">
        <f>SUM(F125)</f>
        <v>28020</v>
      </c>
      <c r="J125" s="277"/>
      <c r="M125" s="267" t="s">
        <v>9</v>
      </c>
    </row>
    <row r="126" spans="1:15" ht="20.100000000000001" customHeight="1">
      <c r="A126" s="278"/>
      <c r="B126" s="277" t="s">
        <v>672</v>
      </c>
      <c r="C126" s="277"/>
      <c r="D126" s="277"/>
      <c r="E126" s="277"/>
      <c r="F126" s="277"/>
      <c r="G126" s="277"/>
      <c r="H126" s="277"/>
      <c r="I126" s="277"/>
      <c r="J126" s="277"/>
      <c r="N126" s="438" t="s">
        <v>9</v>
      </c>
      <c r="O126" s="267" t="s">
        <v>9</v>
      </c>
    </row>
    <row r="127" spans="1:15" ht="20.100000000000001" customHeight="1">
      <c r="A127" s="460"/>
      <c r="B127" s="277" t="s">
        <v>696</v>
      </c>
      <c r="C127" s="440">
        <v>2</v>
      </c>
      <c r="D127" s="383" t="s">
        <v>128</v>
      </c>
      <c r="E127" s="472" t="s">
        <v>124</v>
      </c>
      <c r="F127" s="472" t="s">
        <v>124</v>
      </c>
      <c r="G127" s="443">
        <v>10000</v>
      </c>
      <c r="H127" s="443">
        <f>SUM(G127*C127)</f>
        <v>20000</v>
      </c>
      <c r="I127" s="437">
        <f>SUM(H127)</f>
        <v>20000</v>
      </c>
      <c r="J127" s="277"/>
      <c r="M127" s="267" t="s">
        <v>9</v>
      </c>
    </row>
    <row r="128" spans="1:15" ht="20.100000000000001" customHeight="1">
      <c r="A128" s="460"/>
      <c r="B128" s="277" t="s">
        <v>695</v>
      </c>
      <c r="C128" s="296">
        <v>1</v>
      </c>
      <c r="D128" s="296" t="s">
        <v>128</v>
      </c>
      <c r="E128" s="443">
        <v>60300</v>
      </c>
      <c r="F128" s="443">
        <f>SUM(E128*C128)</f>
        <v>60300</v>
      </c>
      <c r="G128" s="442" t="s">
        <v>124</v>
      </c>
      <c r="H128" s="442" t="s">
        <v>124</v>
      </c>
      <c r="I128" s="437">
        <f>SUM(F128)</f>
        <v>60300</v>
      </c>
      <c r="J128" s="277"/>
      <c r="M128" s="267" t="s">
        <v>9</v>
      </c>
      <c r="N128" s="267" t="s">
        <v>9</v>
      </c>
    </row>
    <row r="129" spans="1:18" s="283" customFormat="1" ht="20.100000000000001" customHeight="1">
      <c r="A129" s="460"/>
      <c r="B129" s="277" t="s">
        <v>697</v>
      </c>
      <c r="C129" s="296">
        <v>2</v>
      </c>
      <c r="D129" s="296" t="s">
        <v>128</v>
      </c>
      <c r="E129" s="443">
        <v>4350</v>
      </c>
      <c r="F129" s="443">
        <f>SUM(E129*C129)</f>
        <v>8700</v>
      </c>
      <c r="G129" s="442" t="s">
        <v>124</v>
      </c>
      <c r="H129" s="442" t="s">
        <v>124</v>
      </c>
      <c r="I129" s="437">
        <f>SUM(F129)</f>
        <v>8700</v>
      </c>
      <c r="J129" s="277"/>
      <c r="L129" s="284"/>
    </row>
    <row r="130" spans="1:18" s="283" customFormat="1" ht="20.100000000000001" customHeight="1">
      <c r="A130" s="296"/>
      <c r="B130" s="277" t="s">
        <v>699</v>
      </c>
      <c r="C130" s="296">
        <v>2</v>
      </c>
      <c r="D130" s="296" t="s">
        <v>128</v>
      </c>
      <c r="E130" s="443">
        <v>3830</v>
      </c>
      <c r="F130" s="443">
        <f>SUM(E130*C130)</f>
        <v>7660</v>
      </c>
      <c r="G130" s="442" t="s">
        <v>124</v>
      </c>
      <c r="H130" s="442" t="s">
        <v>124</v>
      </c>
      <c r="I130" s="437">
        <f>SUM(F130)</f>
        <v>7660</v>
      </c>
      <c r="J130" s="277"/>
      <c r="L130" s="284"/>
      <c r="N130" s="283" t="s">
        <v>9</v>
      </c>
    </row>
    <row r="131" spans="1:18" ht="20.100000000000001" customHeight="1">
      <c r="A131" s="277"/>
      <c r="B131" s="277" t="s">
        <v>698</v>
      </c>
      <c r="C131" s="296">
        <v>2</v>
      </c>
      <c r="D131" s="296" t="s">
        <v>128</v>
      </c>
      <c r="E131" s="443">
        <v>5985</v>
      </c>
      <c r="F131" s="443">
        <f>SUM(E131*C131)</f>
        <v>11970</v>
      </c>
      <c r="G131" s="442" t="s">
        <v>124</v>
      </c>
      <c r="H131" s="442" t="s">
        <v>124</v>
      </c>
      <c r="I131" s="437">
        <f>SUM(F131)</f>
        <v>11970</v>
      </c>
      <c r="J131" s="277"/>
      <c r="K131" s="286"/>
    </row>
    <row r="132" spans="1:18" ht="20.100000000000001" customHeight="1">
      <c r="A132" s="277"/>
      <c r="B132" s="295"/>
      <c r="C132" s="285"/>
      <c r="D132" s="274"/>
      <c r="E132" s="281"/>
      <c r="F132" s="281"/>
      <c r="G132" s="280"/>
      <c r="H132" s="280"/>
      <c r="I132" s="282"/>
      <c r="J132" s="297"/>
      <c r="K132" s="286"/>
      <c r="M132" s="267" t="s">
        <v>9</v>
      </c>
    </row>
    <row r="133" spans="1:18" ht="20.100000000000001" customHeight="1">
      <c r="A133" s="300"/>
      <c r="B133" s="279"/>
      <c r="C133" s="299"/>
      <c r="D133" s="274"/>
      <c r="E133" s="281"/>
      <c r="F133" s="281"/>
      <c r="G133" s="301"/>
      <c r="H133" s="281"/>
      <c r="I133" s="282"/>
      <c r="J133" s="277"/>
      <c r="K133" s="286"/>
      <c r="L133" s="424"/>
    </row>
    <row r="134" spans="1:18" ht="20.100000000000001" customHeight="1">
      <c r="A134" s="460"/>
      <c r="B134" s="288" t="s">
        <v>18</v>
      </c>
      <c r="C134" s="285"/>
      <c r="D134" s="274"/>
      <c r="E134" s="289"/>
      <c r="F134" s="290">
        <f>SUM(F115:F133)</f>
        <v>169233</v>
      </c>
      <c r="G134" s="291"/>
      <c r="H134" s="290">
        <f>SUM(H115:H132)</f>
        <v>35000</v>
      </c>
      <c r="I134" s="276"/>
      <c r="J134" s="277"/>
      <c r="K134" s="286">
        <f>SUM(F134+H134)</f>
        <v>204233</v>
      </c>
      <c r="M134" s="438">
        <f>SUM(I125:I131)</f>
        <v>136650</v>
      </c>
    </row>
    <row r="135" spans="1:18" ht="20.100000000000001" customHeight="1">
      <c r="A135" s="460"/>
      <c r="B135" s="278" t="s">
        <v>86</v>
      </c>
      <c r="C135" s="285"/>
      <c r="D135" s="274"/>
      <c r="E135" s="289"/>
      <c r="F135" s="281"/>
      <c r="G135" s="291"/>
      <c r="H135" s="292"/>
      <c r="I135" s="423">
        <f>SUM(I115:I133)</f>
        <v>204233</v>
      </c>
      <c r="J135" s="277"/>
      <c r="K135" s="286"/>
    </row>
    <row r="136" spans="1:18" ht="20.100000000000001" customHeight="1">
      <c r="A136" s="460"/>
      <c r="B136" s="643" t="s">
        <v>455</v>
      </c>
      <c r="C136" s="644"/>
      <c r="D136" s="645"/>
      <c r="E136" s="289"/>
      <c r="F136" s="281"/>
      <c r="G136" s="494"/>
      <c r="H136" s="494"/>
      <c r="I136" s="493"/>
      <c r="J136" s="277"/>
      <c r="K136" s="286"/>
      <c r="R136" s="267" t="s">
        <v>9</v>
      </c>
    </row>
    <row r="137" spans="1:18" ht="20.100000000000001" customHeight="1">
      <c r="A137" s="460"/>
      <c r="B137" s="277" t="s">
        <v>700</v>
      </c>
      <c r="C137" s="296">
        <v>2</v>
      </c>
      <c r="D137" s="296" t="s">
        <v>128</v>
      </c>
      <c r="E137" s="443">
        <v>1880</v>
      </c>
      <c r="F137" s="443">
        <f>SUM(E137*C137)</f>
        <v>3760</v>
      </c>
      <c r="G137" s="442" t="s">
        <v>124</v>
      </c>
      <c r="H137" s="442" t="s">
        <v>124</v>
      </c>
      <c r="I137" s="437">
        <f>SUM(F137)</f>
        <v>3760</v>
      </c>
      <c r="J137" s="277"/>
      <c r="K137" s="286"/>
      <c r="P137" s="267" t="s">
        <v>9</v>
      </c>
    </row>
    <row r="138" spans="1:18" ht="20.100000000000001" customHeight="1">
      <c r="A138" s="460"/>
      <c r="B138" s="277" t="s">
        <v>701</v>
      </c>
      <c r="C138" s="296">
        <v>2</v>
      </c>
      <c r="D138" s="296" t="s">
        <v>128</v>
      </c>
      <c r="E138" s="443">
        <v>2120</v>
      </c>
      <c r="F138" s="443">
        <f>SUM(E138*C138)</f>
        <v>4240</v>
      </c>
      <c r="G138" s="442" t="s">
        <v>124</v>
      </c>
      <c r="H138" s="442" t="s">
        <v>124</v>
      </c>
      <c r="I138" s="437">
        <f>SUM(F138)</f>
        <v>4240</v>
      </c>
      <c r="J138" s="277"/>
      <c r="K138" s="286"/>
    </row>
    <row r="139" spans="1:18" ht="20.100000000000001" customHeight="1">
      <c r="A139" s="460"/>
      <c r="B139" s="279" t="s">
        <v>694</v>
      </c>
      <c r="C139" s="296">
        <v>2</v>
      </c>
      <c r="D139" s="296" t="s">
        <v>128</v>
      </c>
      <c r="E139" s="443">
        <v>14010</v>
      </c>
      <c r="F139" s="443">
        <f>SUM(E139*C139)</f>
        <v>28020</v>
      </c>
      <c r="G139" s="442" t="s">
        <v>124</v>
      </c>
      <c r="H139" s="442" t="s">
        <v>124</v>
      </c>
      <c r="I139" s="437">
        <f>SUM(F139)</f>
        <v>28020</v>
      </c>
      <c r="J139" s="277"/>
      <c r="K139" s="286"/>
      <c r="N139" s="267" t="s">
        <v>9</v>
      </c>
      <c r="P139" s="267" t="s">
        <v>9</v>
      </c>
    </row>
    <row r="140" spans="1:18" ht="20.100000000000001" customHeight="1">
      <c r="A140" s="460"/>
      <c r="B140" s="473" t="s">
        <v>491</v>
      </c>
      <c r="C140" s="277"/>
      <c r="D140" s="277"/>
      <c r="E140" s="277"/>
      <c r="F140" s="277"/>
      <c r="G140" s="277"/>
      <c r="H140" s="277"/>
      <c r="I140" s="277"/>
      <c r="J140" s="277"/>
      <c r="K140" s="286"/>
    </row>
    <row r="141" spans="1:18" ht="20.100000000000001" customHeight="1">
      <c r="A141" s="460"/>
      <c r="B141" s="573" t="s">
        <v>492</v>
      </c>
      <c r="C141" s="277"/>
      <c r="D141" s="277"/>
      <c r="E141" s="277"/>
      <c r="F141" s="277"/>
      <c r="G141" s="277"/>
      <c r="H141" s="277"/>
      <c r="I141" s="277"/>
      <c r="J141" s="277"/>
      <c r="K141" s="286"/>
    </row>
    <row r="142" spans="1:18" ht="20.100000000000001" customHeight="1">
      <c r="A142" s="460"/>
      <c r="B142" s="277" t="s">
        <v>724</v>
      </c>
      <c r="C142" s="296">
        <v>440</v>
      </c>
      <c r="D142" s="296" t="s">
        <v>130</v>
      </c>
      <c r="E142" s="441">
        <v>25</v>
      </c>
      <c r="F142" s="441">
        <f t="shared" ref="F142:F148" si="4">SUM(E142*C142)</f>
        <v>11000</v>
      </c>
      <c r="G142" s="441">
        <v>30</v>
      </c>
      <c r="H142" s="441">
        <f>SUM(G142*C142)</f>
        <v>13200</v>
      </c>
      <c r="I142" s="303">
        <f>SUM(H142+F142)</f>
        <v>24200</v>
      </c>
      <c r="J142" s="277"/>
      <c r="K142" s="286"/>
    </row>
    <row r="143" spans="1:18" ht="20.100000000000001" customHeight="1">
      <c r="A143" s="460"/>
      <c r="B143" s="277" t="s">
        <v>725</v>
      </c>
      <c r="C143" s="296">
        <v>276</v>
      </c>
      <c r="D143" s="296" t="s">
        <v>130</v>
      </c>
      <c r="E143" s="441">
        <v>39</v>
      </c>
      <c r="F143" s="441">
        <f t="shared" si="4"/>
        <v>10764</v>
      </c>
      <c r="G143" s="441">
        <v>40</v>
      </c>
      <c r="H143" s="441">
        <f>SUM(G143*C143)</f>
        <v>11040</v>
      </c>
      <c r="I143" s="303">
        <f>SUM(H143+F143)</f>
        <v>21804</v>
      </c>
      <c r="J143" s="277"/>
      <c r="K143" s="286"/>
    </row>
    <row r="144" spans="1:18" ht="20.100000000000001" customHeight="1">
      <c r="A144" s="460"/>
      <c r="B144" s="277" t="s">
        <v>719</v>
      </c>
      <c r="C144" s="296">
        <v>392</v>
      </c>
      <c r="D144" s="296" t="s">
        <v>130</v>
      </c>
      <c r="E144" s="441">
        <v>85</v>
      </c>
      <c r="F144" s="441">
        <f t="shared" si="4"/>
        <v>33320</v>
      </c>
      <c r="G144" s="441">
        <v>75</v>
      </c>
      <c r="H144" s="441">
        <f>SUM(G144*C144)</f>
        <v>29400</v>
      </c>
      <c r="I144" s="303">
        <f>SUM(H144+F144)</f>
        <v>62720</v>
      </c>
      <c r="J144" s="277"/>
      <c r="K144" s="286"/>
    </row>
    <row r="145" spans="1:14" ht="20.100000000000001" customHeight="1">
      <c r="A145" s="460"/>
      <c r="B145" s="277" t="s">
        <v>722</v>
      </c>
      <c r="C145" s="296">
        <v>920</v>
      </c>
      <c r="D145" s="296" t="s">
        <v>130</v>
      </c>
      <c r="E145" s="441">
        <v>138</v>
      </c>
      <c r="F145" s="441">
        <f t="shared" si="4"/>
        <v>126960</v>
      </c>
      <c r="G145" s="441">
        <v>100</v>
      </c>
      <c r="H145" s="441">
        <f>SUM(G145*C145)</f>
        <v>92000</v>
      </c>
      <c r="I145" s="303">
        <f>SUM(H145+F145)</f>
        <v>218960</v>
      </c>
      <c r="J145" s="277"/>
      <c r="K145" s="286"/>
    </row>
    <row r="146" spans="1:14" ht="20.100000000000001" customHeight="1">
      <c r="A146" s="460"/>
      <c r="B146" s="277" t="s">
        <v>726</v>
      </c>
      <c r="C146" s="296">
        <v>160</v>
      </c>
      <c r="D146" s="296" t="s">
        <v>130</v>
      </c>
      <c r="E146" s="441">
        <v>291</v>
      </c>
      <c r="F146" s="441">
        <f t="shared" si="4"/>
        <v>46560</v>
      </c>
      <c r="G146" s="441">
        <v>200</v>
      </c>
      <c r="H146" s="441">
        <f>SUM(G146*C146)</f>
        <v>32000</v>
      </c>
      <c r="I146" s="303">
        <f>SUM(H146+F146)</f>
        <v>78560</v>
      </c>
      <c r="J146" s="277"/>
      <c r="K146" s="286"/>
    </row>
    <row r="147" spans="1:14" ht="20.100000000000001" customHeight="1">
      <c r="A147" s="460"/>
      <c r="B147" s="279" t="s">
        <v>445</v>
      </c>
      <c r="C147" s="296">
        <v>1</v>
      </c>
      <c r="D147" s="296" t="s">
        <v>19</v>
      </c>
      <c r="E147" s="441">
        <v>41200</v>
      </c>
      <c r="F147" s="441">
        <f t="shared" si="4"/>
        <v>41200</v>
      </c>
      <c r="G147" s="442" t="s">
        <v>124</v>
      </c>
      <c r="H147" s="442" t="s">
        <v>124</v>
      </c>
      <c r="I147" s="303">
        <f>SUM(F147)</f>
        <v>41200</v>
      </c>
      <c r="J147" s="277"/>
      <c r="K147" s="286"/>
      <c r="N147" s="267" t="s">
        <v>9</v>
      </c>
    </row>
    <row r="148" spans="1:14" ht="20.100000000000001" customHeight="1">
      <c r="A148" s="460"/>
      <c r="B148" s="279" t="s">
        <v>446</v>
      </c>
      <c r="C148" s="296">
        <v>1</v>
      </c>
      <c r="D148" s="296" t="s">
        <v>19</v>
      </c>
      <c r="E148" s="441">
        <v>12000</v>
      </c>
      <c r="F148" s="441">
        <f t="shared" si="4"/>
        <v>12000</v>
      </c>
      <c r="G148" s="441">
        <v>3600</v>
      </c>
      <c r="H148" s="441">
        <f>SUM(G148*C148)</f>
        <v>3600</v>
      </c>
      <c r="I148" s="303">
        <f>SUM(H148+F148)</f>
        <v>15600</v>
      </c>
      <c r="J148" s="277"/>
      <c r="K148" s="286"/>
    </row>
    <row r="149" spans="1:14" ht="20.100000000000001" customHeight="1">
      <c r="A149" s="460"/>
      <c r="B149" s="277"/>
      <c r="C149" s="296"/>
      <c r="D149" s="296"/>
      <c r="E149" s="441"/>
      <c r="F149" s="441"/>
      <c r="G149" s="441"/>
      <c r="H149" s="441"/>
      <c r="I149" s="303"/>
      <c r="J149" s="277"/>
      <c r="K149" s="286"/>
    </row>
    <row r="150" spans="1:14" ht="20.100000000000001" customHeight="1">
      <c r="A150" s="460"/>
      <c r="B150" s="277"/>
      <c r="C150" s="296"/>
      <c r="D150" s="296"/>
      <c r="E150" s="441"/>
      <c r="F150" s="441"/>
      <c r="G150" s="441"/>
      <c r="H150" s="441"/>
      <c r="I150" s="303"/>
      <c r="J150" s="277"/>
      <c r="K150" s="286"/>
    </row>
    <row r="151" spans="1:14" ht="20.100000000000001" customHeight="1">
      <c r="A151" s="460"/>
      <c r="B151" s="277"/>
      <c r="C151" s="296"/>
      <c r="D151" s="296"/>
      <c r="E151" s="441"/>
      <c r="F151" s="441"/>
      <c r="G151" s="441"/>
      <c r="H151" s="441"/>
      <c r="I151" s="303"/>
      <c r="J151" s="277"/>
      <c r="K151" s="286"/>
    </row>
    <row r="152" spans="1:14" ht="20.100000000000001" customHeight="1">
      <c r="A152" s="460"/>
      <c r="B152" s="279"/>
      <c r="C152" s="296"/>
      <c r="D152" s="296"/>
      <c r="E152" s="441"/>
      <c r="F152" s="441"/>
      <c r="G152" s="442"/>
      <c r="H152" s="442"/>
      <c r="I152" s="303"/>
      <c r="J152" s="277"/>
      <c r="K152" s="286"/>
    </row>
    <row r="153" spans="1:14" ht="20.100000000000001" customHeight="1">
      <c r="A153" s="460"/>
      <c r="B153" s="279"/>
      <c r="C153" s="296"/>
      <c r="D153" s="296"/>
      <c r="E153" s="441"/>
      <c r="F153" s="441"/>
      <c r="G153" s="441"/>
      <c r="H153" s="441"/>
      <c r="I153" s="303"/>
      <c r="J153" s="277"/>
      <c r="K153" s="286"/>
    </row>
    <row r="154" spans="1:14" ht="20.100000000000001" customHeight="1">
      <c r="A154" s="460"/>
      <c r="B154" s="278"/>
      <c r="C154" s="285"/>
      <c r="D154" s="274"/>
      <c r="E154" s="289"/>
      <c r="F154" s="281"/>
      <c r="G154" s="494"/>
      <c r="H154" s="494"/>
      <c r="I154" s="493"/>
      <c r="J154" s="277"/>
      <c r="K154" s="286"/>
      <c r="M154" s="267" t="s">
        <v>9</v>
      </c>
    </row>
    <row r="155" spans="1:14" ht="20.100000000000001" customHeight="1">
      <c r="A155" s="460"/>
      <c r="B155" s="288" t="s">
        <v>18</v>
      </c>
      <c r="C155" s="285"/>
      <c r="D155" s="274"/>
      <c r="E155" s="289"/>
      <c r="F155" s="290">
        <f>SUM(F136:F154)</f>
        <v>317824</v>
      </c>
      <c r="G155" s="291"/>
      <c r="H155" s="290">
        <f>SUM(H136:H153)</f>
        <v>181240</v>
      </c>
      <c r="I155" s="276"/>
      <c r="J155" s="277"/>
      <c r="K155" s="286">
        <f>SUM(F155+H155)</f>
        <v>499064</v>
      </c>
    </row>
    <row r="156" spans="1:14" ht="20.100000000000001" customHeight="1">
      <c r="A156" s="460"/>
      <c r="B156" s="278" t="s">
        <v>86</v>
      </c>
      <c r="C156" s="285"/>
      <c r="D156" s="274"/>
      <c r="E156" s="289"/>
      <c r="F156" s="281"/>
      <c r="G156" s="291"/>
      <c r="H156" s="292"/>
      <c r="I156" s="423">
        <f>SUM(I136:I154)</f>
        <v>499064</v>
      </c>
      <c r="J156" s="277"/>
      <c r="K156" s="286"/>
    </row>
    <row r="157" spans="1:14" ht="20.100000000000001" customHeight="1">
      <c r="A157" s="278"/>
      <c r="B157" s="643" t="s">
        <v>455</v>
      </c>
      <c r="C157" s="644"/>
      <c r="D157" s="645"/>
      <c r="E157" s="275"/>
      <c r="F157" s="275"/>
      <c r="G157" s="275"/>
      <c r="H157" s="275"/>
      <c r="I157" s="276"/>
      <c r="J157" s="277"/>
      <c r="M157" s="267" t="s">
        <v>9</v>
      </c>
    </row>
    <row r="158" spans="1:14" ht="20.100000000000001" customHeight="1">
      <c r="A158" s="278"/>
      <c r="B158" s="377" t="s">
        <v>493</v>
      </c>
      <c r="C158" s="558"/>
      <c r="D158" s="296"/>
      <c r="E158" s="441"/>
      <c r="F158" s="441"/>
      <c r="G158" s="442"/>
      <c r="H158" s="442"/>
      <c r="I158" s="303"/>
      <c r="J158" s="277"/>
      <c r="K158" s="286"/>
    </row>
    <row r="159" spans="1:14" s="283" customFormat="1" ht="20.100000000000001" customHeight="1">
      <c r="A159" s="278"/>
      <c r="B159" s="277" t="s">
        <v>725</v>
      </c>
      <c r="C159" s="296">
        <v>96</v>
      </c>
      <c r="D159" s="296" t="s">
        <v>128</v>
      </c>
      <c r="E159" s="441">
        <v>160</v>
      </c>
      <c r="F159" s="441">
        <f>SUM(C159*E159)</f>
        <v>15360</v>
      </c>
      <c r="G159" s="441">
        <v>100</v>
      </c>
      <c r="H159" s="441">
        <f>SUM(G159*C159)</f>
        <v>9600</v>
      </c>
      <c r="I159" s="303">
        <f>SUM(H159+F159)</f>
        <v>24960</v>
      </c>
      <c r="J159" s="277"/>
      <c r="K159" s="286">
        <f>+H134+F134</f>
        <v>204233</v>
      </c>
      <c r="L159" s="284"/>
    </row>
    <row r="160" spans="1:14" s="283" customFormat="1" ht="20.100000000000001" customHeight="1">
      <c r="A160" s="278"/>
      <c r="B160" s="277" t="s">
        <v>722</v>
      </c>
      <c r="C160" s="296">
        <v>16</v>
      </c>
      <c r="D160" s="296" t="s">
        <v>128</v>
      </c>
      <c r="E160" s="441">
        <v>320</v>
      </c>
      <c r="F160" s="441">
        <f>SUM(C160*E160)</f>
        <v>5120</v>
      </c>
      <c r="G160" s="441">
        <v>200</v>
      </c>
      <c r="H160" s="441">
        <f>SUM(G160*C160)</f>
        <v>3200</v>
      </c>
      <c r="I160" s="303">
        <f>SUM(H160+F160)</f>
        <v>8320</v>
      </c>
      <c r="J160" s="277"/>
      <c r="L160" s="284"/>
    </row>
    <row r="161" spans="1:13" s="283" customFormat="1" ht="20.100000000000001" customHeight="1">
      <c r="A161" s="278"/>
      <c r="B161" s="277" t="s">
        <v>726</v>
      </c>
      <c r="C161" s="296">
        <v>8</v>
      </c>
      <c r="D161" s="296" t="s">
        <v>128</v>
      </c>
      <c r="E161" s="441">
        <v>520</v>
      </c>
      <c r="F161" s="441">
        <f>SUM(C161*E161)</f>
        <v>4160</v>
      </c>
      <c r="G161" s="441">
        <v>300</v>
      </c>
      <c r="H161" s="441">
        <f>SUM(G161*C161)</f>
        <v>2400</v>
      </c>
      <c r="I161" s="303">
        <f>SUM(H161+F161)</f>
        <v>6560</v>
      </c>
      <c r="J161" s="277"/>
      <c r="L161" s="284"/>
    </row>
    <row r="162" spans="1:13" ht="20.100000000000001" customHeight="1">
      <c r="A162" s="278"/>
      <c r="B162" s="377" t="s">
        <v>494</v>
      </c>
      <c r="C162" s="296"/>
      <c r="D162" s="296"/>
      <c r="E162" s="441"/>
      <c r="F162" s="441"/>
      <c r="G162" s="441"/>
      <c r="H162" s="441"/>
      <c r="I162" s="303"/>
      <c r="J162" s="277"/>
    </row>
    <row r="163" spans="1:13" ht="20.100000000000001" customHeight="1">
      <c r="A163" s="278"/>
      <c r="B163" s="277" t="s">
        <v>726</v>
      </c>
      <c r="C163" s="296">
        <v>8</v>
      </c>
      <c r="D163" s="296" t="s">
        <v>128</v>
      </c>
      <c r="E163" s="441">
        <v>700</v>
      </c>
      <c r="F163" s="441">
        <f>SUM(E163*C163)</f>
        <v>5600</v>
      </c>
      <c r="G163" s="442" t="s">
        <v>124</v>
      </c>
      <c r="H163" s="442" t="s">
        <v>124</v>
      </c>
      <c r="I163" s="303">
        <f>SUM(F163)</f>
        <v>5600</v>
      </c>
      <c r="J163" s="277"/>
    </row>
    <row r="164" spans="1:13" ht="20.100000000000001" customHeight="1">
      <c r="A164" s="278"/>
      <c r="B164" s="430" t="s">
        <v>495</v>
      </c>
      <c r="C164" s="285"/>
      <c r="D164" s="274"/>
      <c r="E164" s="444"/>
      <c r="F164" s="444"/>
      <c r="G164" s="441"/>
      <c r="H164" s="441"/>
      <c r="I164" s="303"/>
      <c r="J164" s="277"/>
    </row>
    <row r="165" spans="1:13" ht="20.100000000000001" customHeight="1">
      <c r="A165" s="278"/>
      <c r="B165" s="277" t="s">
        <v>725</v>
      </c>
      <c r="C165" s="296">
        <v>8</v>
      </c>
      <c r="D165" s="296" t="s">
        <v>128</v>
      </c>
      <c r="E165" s="441">
        <v>350</v>
      </c>
      <c r="F165" s="441">
        <f>SUM(E165*C165)</f>
        <v>2800</v>
      </c>
      <c r="G165" s="441">
        <v>100</v>
      </c>
      <c r="H165" s="441">
        <f>SUM(G165*C165)</f>
        <v>800</v>
      </c>
      <c r="I165" s="303">
        <f>SUM(H165+F165)</f>
        <v>3600</v>
      </c>
      <c r="J165" s="277"/>
    </row>
    <row r="166" spans="1:13" ht="20.100000000000001" customHeight="1">
      <c r="A166" s="278"/>
      <c r="B166" s="277" t="s">
        <v>719</v>
      </c>
      <c r="C166" s="296">
        <v>2</v>
      </c>
      <c r="D166" s="296" t="s">
        <v>128</v>
      </c>
      <c r="E166" s="441">
        <v>485</v>
      </c>
      <c r="F166" s="441">
        <f>SUM(E166*C166)</f>
        <v>970</v>
      </c>
      <c r="G166" s="441">
        <v>150</v>
      </c>
      <c r="H166" s="441">
        <f>SUM(G166*C166)</f>
        <v>300</v>
      </c>
      <c r="I166" s="303">
        <f>SUM(H166+F166)</f>
        <v>1270</v>
      </c>
      <c r="J166" s="277"/>
    </row>
    <row r="167" spans="1:13" ht="20.100000000000001" customHeight="1">
      <c r="A167" s="278"/>
      <c r="B167" s="277" t="s">
        <v>722</v>
      </c>
      <c r="C167" s="296">
        <v>16</v>
      </c>
      <c r="D167" s="296" t="s">
        <v>128</v>
      </c>
      <c r="E167" s="441">
        <v>620</v>
      </c>
      <c r="F167" s="441">
        <f>SUM(E167*C167)</f>
        <v>9920</v>
      </c>
      <c r="G167" s="441">
        <v>200</v>
      </c>
      <c r="H167" s="441">
        <f>SUM(G167*C167)</f>
        <v>3200</v>
      </c>
      <c r="I167" s="303">
        <f>SUM(H167+F167)</f>
        <v>13120</v>
      </c>
      <c r="J167" s="277"/>
    </row>
    <row r="168" spans="1:13" s="283" customFormat="1" ht="20.100000000000001" customHeight="1">
      <c r="A168" s="278"/>
      <c r="B168" s="277" t="s">
        <v>726</v>
      </c>
      <c r="C168" s="296">
        <v>16</v>
      </c>
      <c r="D168" s="296" t="s">
        <v>128</v>
      </c>
      <c r="E168" s="441">
        <v>1360</v>
      </c>
      <c r="F168" s="441">
        <f>SUM(E168*C168)</f>
        <v>21760</v>
      </c>
      <c r="G168" s="441">
        <v>300</v>
      </c>
      <c r="H168" s="441">
        <f>SUM(G168*C168)</f>
        <v>4800</v>
      </c>
      <c r="I168" s="303">
        <f>SUM(H168+F168)</f>
        <v>26560</v>
      </c>
      <c r="J168" s="277"/>
      <c r="L168" s="284"/>
    </row>
    <row r="169" spans="1:13" ht="20.100000000000001" customHeight="1">
      <c r="A169" s="278"/>
      <c r="B169" s="377" t="s">
        <v>496</v>
      </c>
      <c r="C169" s="296"/>
      <c r="D169" s="296"/>
      <c r="E169" s="441"/>
      <c r="F169" s="441"/>
      <c r="G169" s="441"/>
      <c r="H169" s="441"/>
      <c r="I169" s="303"/>
      <c r="J169" s="277"/>
    </row>
    <row r="170" spans="1:13" ht="20.100000000000001" customHeight="1">
      <c r="A170" s="278"/>
      <c r="B170" s="277" t="s">
        <v>727</v>
      </c>
      <c r="C170" s="467">
        <v>16</v>
      </c>
      <c r="D170" s="296" t="s">
        <v>157</v>
      </c>
      <c r="E170" s="441">
        <v>250</v>
      </c>
      <c r="F170" s="441">
        <f>SUM(C170*E170)</f>
        <v>4000</v>
      </c>
      <c r="G170" s="442" t="s">
        <v>124</v>
      </c>
      <c r="H170" s="442" t="s">
        <v>124</v>
      </c>
      <c r="I170" s="303">
        <f>SUM(F170)</f>
        <v>4000</v>
      </c>
      <c r="J170" s="277"/>
      <c r="L170" s="424"/>
    </row>
    <row r="171" spans="1:13" ht="20.100000000000001" customHeight="1">
      <c r="A171" s="278"/>
      <c r="B171" s="277" t="s">
        <v>728</v>
      </c>
      <c r="C171" s="296">
        <v>161</v>
      </c>
      <c r="D171" s="296" t="s">
        <v>157</v>
      </c>
      <c r="E171" s="441">
        <v>400</v>
      </c>
      <c r="F171" s="441">
        <f>SUM(C171*E171)</f>
        <v>64400</v>
      </c>
      <c r="G171" s="442" t="s">
        <v>124</v>
      </c>
      <c r="H171" s="442" t="s">
        <v>124</v>
      </c>
      <c r="I171" s="303">
        <f>SUM(F171)</f>
        <v>64400</v>
      </c>
      <c r="J171" s="277"/>
    </row>
    <row r="172" spans="1:13" ht="20.100000000000001" customHeight="1">
      <c r="A172" s="278"/>
      <c r="B172" s="377" t="s">
        <v>497</v>
      </c>
      <c r="C172" s="299"/>
      <c r="D172" s="274"/>
      <c r="E172" s="441"/>
      <c r="F172" s="441"/>
      <c r="G172" s="442"/>
      <c r="H172" s="442"/>
      <c r="I172" s="303"/>
      <c r="J172" s="277"/>
      <c r="K172" s="286"/>
    </row>
    <row r="173" spans="1:13" ht="20.100000000000001" customHeight="1">
      <c r="A173" s="278"/>
      <c r="B173" s="277" t="s">
        <v>727</v>
      </c>
      <c r="C173" s="467">
        <v>16</v>
      </c>
      <c r="D173" s="296" t="s">
        <v>157</v>
      </c>
      <c r="E173" s="441">
        <v>222</v>
      </c>
      <c r="F173" s="441">
        <f>SUM(C173*E173)</f>
        <v>3552</v>
      </c>
      <c r="G173" s="442" t="s">
        <v>124</v>
      </c>
      <c r="H173" s="442" t="s">
        <v>124</v>
      </c>
      <c r="I173" s="303">
        <f>SUM(F173)</f>
        <v>3552</v>
      </c>
      <c r="J173" s="277"/>
      <c r="K173" s="286"/>
    </row>
    <row r="174" spans="1:13" ht="20.100000000000001" customHeight="1">
      <c r="A174" s="278"/>
      <c r="B174" s="277" t="s">
        <v>728</v>
      </c>
      <c r="C174" s="296">
        <v>161</v>
      </c>
      <c r="D174" s="296" t="s">
        <v>157</v>
      </c>
      <c r="E174" s="441">
        <v>990</v>
      </c>
      <c r="F174" s="441">
        <f>SUM(C174*E174)</f>
        <v>159390</v>
      </c>
      <c r="G174" s="442" t="s">
        <v>124</v>
      </c>
      <c r="H174" s="442" t="s">
        <v>124</v>
      </c>
      <c r="I174" s="303">
        <f t="shared" ref="I174" si="5">SUM(F174)</f>
        <v>159390</v>
      </c>
      <c r="J174" s="277"/>
      <c r="K174" s="286"/>
    </row>
    <row r="175" spans="1:13" ht="20.100000000000001" customHeight="1">
      <c r="A175" s="278"/>
      <c r="B175" s="279"/>
      <c r="C175" s="285"/>
      <c r="D175" s="274"/>
      <c r="E175" s="281"/>
      <c r="F175" s="281"/>
      <c r="G175" s="281"/>
      <c r="H175" s="281"/>
      <c r="I175" s="282"/>
      <c r="J175" s="277"/>
      <c r="K175" s="286"/>
      <c r="M175" s="267" t="s">
        <v>9</v>
      </c>
    </row>
    <row r="176" spans="1:13" ht="20.100000000000001" customHeight="1">
      <c r="A176" s="460"/>
      <c r="B176" s="288" t="s">
        <v>18</v>
      </c>
      <c r="C176" s="285"/>
      <c r="D176" s="274"/>
      <c r="E176" s="289"/>
      <c r="F176" s="290">
        <f>SUM(F158:F174)</f>
        <v>297032</v>
      </c>
      <c r="G176" s="291"/>
      <c r="H176" s="290">
        <f>SUM(H157:H174)</f>
        <v>24300</v>
      </c>
      <c r="I176" s="276"/>
      <c r="J176" s="277"/>
      <c r="K176" s="286">
        <f>SUM(F176+H176)</f>
        <v>321332</v>
      </c>
    </row>
    <row r="177" spans="1:14" ht="20.100000000000001" customHeight="1">
      <c r="A177" s="460"/>
      <c r="B177" s="278" t="s">
        <v>86</v>
      </c>
      <c r="C177" s="285"/>
      <c r="D177" s="274"/>
      <c r="E177" s="289"/>
      <c r="F177" s="281"/>
      <c r="G177" s="291"/>
      <c r="H177" s="292"/>
      <c r="I177" s="423">
        <f>SUM(I157:I175)</f>
        <v>321332</v>
      </c>
      <c r="J177" s="277"/>
      <c r="K177" s="286"/>
    </row>
    <row r="178" spans="1:14" ht="20.100000000000001" customHeight="1">
      <c r="A178" s="278"/>
      <c r="B178" s="643" t="s">
        <v>455</v>
      </c>
      <c r="C178" s="644"/>
      <c r="D178" s="645"/>
      <c r="E178" s="559"/>
      <c r="F178" s="560"/>
      <c r="G178" s="561"/>
      <c r="H178" s="561"/>
      <c r="I178" s="282"/>
      <c r="J178" s="277"/>
      <c r="K178" s="286"/>
      <c r="M178" s="438">
        <f>SUM(I159:I174)</f>
        <v>321332</v>
      </c>
      <c r="N178" s="438">
        <f>SUM(M134+M178)</f>
        <v>457982</v>
      </c>
    </row>
    <row r="179" spans="1:14" ht="20.100000000000001" customHeight="1">
      <c r="A179" s="278"/>
      <c r="B179" s="387" t="s">
        <v>498</v>
      </c>
      <c r="C179" s="440">
        <v>8</v>
      </c>
      <c r="D179" s="383" t="s">
        <v>300</v>
      </c>
      <c r="E179" s="385">
        <v>43000</v>
      </c>
      <c r="F179" s="384">
        <f>C179*E179</f>
        <v>344000</v>
      </c>
      <c r="G179" s="472" t="s">
        <v>124</v>
      </c>
      <c r="H179" s="472" t="s">
        <v>124</v>
      </c>
      <c r="I179" s="376">
        <f>SUM(F179)</f>
        <v>344000</v>
      </c>
      <c r="J179" s="277"/>
      <c r="K179" s="286"/>
      <c r="L179" s="424"/>
    </row>
    <row r="180" spans="1:14" s="283" customFormat="1" ht="20.100000000000001" customHeight="1">
      <c r="A180" s="278"/>
      <c r="B180" s="387" t="s">
        <v>499</v>
      </c>
      <c r="C180" s="440">
        <v>8</v>
      </c>
      <c r="D180" s="383" t="s">
        <v>19</v>
      </c>
      <c r="E180" s="385">
        <v>14000</v>
      </c>
      <c r="F180" s="385">
        <f>C180*E180</f>
        <v>112000</v>
      </c>
      <c r="G180" s="574" t="s">
        <v>298</v>
      </c>
      <c r="H180" s="575" t="s">
        <v>500</v>
      </c>
      <c r="I180" s="385">
        <f>SUM(F180)</f>
        <v>112000</v>
      </c>
      <c r="J180" s="277"/>
      <c r="K180" s="286">
        <f>SUM(F176+H176)</f>
        <v>321332</v>
      </c>
      <c r="L180" s="284"/>
    </row>
    <row r="181" spans="1:14" s="283" customFormat="1" ht="20.100000000000001" customHeight="1">
      <c r="A181" s="279"/>
      <c r="B181" s="377" t="s">
        <v>501</v>
      </c>
      <c r="C181" s="296"/>
      <c r="D181" s="296"/>
      <c r="E181" s="441"/>
      <c r="F181" s="441"/>
      <c r="G181" s="442"/>
      <c r="H181" s="442"/>
      <c r="I181" s="303"/>
      <c r="J181" s="277"/>
      <c r="L181" s="284"/>
    </row>
    <row r="182" spans="1:14" s="283" customFormat="1" ht="18.95" customHeight="1">
      <c r="A182" s="279"/>
      <c r="B182" s="573" t="s">
        <v>492</v>
      </c>
      <c r="C182" s="296"/>
      <c r="D182" s="296"/>
      <c r="E182" s="441"/>
      <c r="F182" s="441"/>
      <c r="G182" s="442"/>
      <c r="H182" s="442"/>
      <c r="I182" s="303"/>
      <c r="J182" s="277"/>
      <c r="L182" s="284"/>
      <c r="N182" s="283" t="s">
        <v>9</v>
      </c>
    </row>
    <row r="183" spans="1:14" s="283" customFormat="1" ht="18.95" customHeight="1">
      <c r="A183" s="278"/>
      <c r="B183" s="277" t="s">
        <v>725</v>
      </c>
      <c r="C183" s="389">
        <v>128</v>
      </c>
      <c r="D183" s="296" t="s">
        <v>130</v>
      </c>
      <c r="E183" s="441">
        <v>39</v>
      </c>
      <c r="F183" s="441">
        <f>SUM(E183*C183)</f>
        <v>4992</v>
      </c>
      <c r="G183" s="441">
        <v>40</v>
      </c>
      <c r="H183" s="441">
        <f>SUM(G183*C183)</f>
        <v>5120</v>
      </c>
      <c r="I183" s="303">
        <f>SUM(H183+F183)</f>
        <v>10112</v>
      </c>
      <c r="J183" s="277"/>
      <c r="L183" s="284"/>
    </row>
    <row r="184" spans="1:14" s="283" customFormat="1" ht="18.95" customHeight="1">
      <c r="A184" s="278"/>
      <c r="B184" s="277" t="s">
        <v>722</v>
      </c>
      <c r="C184" s="389">
        <v>332</v>
      </c>
      <c r="D184" s="296" t="s">
        <v>130</v>
      </c>
      <c r="E184" s="441">
        <v>138</v>
      </c>
      <c r="F184" s="441">
        <f>SUM(E184*C184)</f>
        <v>45816</v>
      </c>
      <c r="G184" s="441">
        <v>100</v>
      </c>
      <c r="H184" s="441">
        <f>SUM(G184*C184)</f>
        <v>33200</v>
      </c>
      <c r="I184" s="303">
        <f>SUM(H184+F184)</f>
        <v>79016</v>
      </c>
      <c r="J184" s="277"/>
      <c r="L184" s="284"/>
      <c r="M184" s="283" t="s">
        <v>502</v>
      </c>
      <c r="N184" s="528">
        <f>SUM(I179:I180)</f>
        <v>456000</v>
      </c>
    </row>
    <row r="185" spans="1:14" ht="18.95" customHeight="1">
      <c r="A185" s="278"/>
      <c r="B185" s="277" t="s">
        <v>726</v>
      </c>
      <c r="C185" s="389">
        <v>100</v>
      </c>
      <c r="D185" s="296" t="s">
        <v>130</v>
      </c>
      <c r="E185" s="441">
        <v>291</v>
      </c>
      <c r="F185" s="441">
        <f>SUM(E185*C185)</f>
        <v>29100</v>
      </c>
      <c r="G185" s="441">
        <v>200</v>
      </c>
      <c r="H185" s="441">
        <f>SUM(G185*C185)</f>
        <v>20000</v>
      </c>
      <c r="I185" s="303">
        <f>SUM(H185+F185)</f>
        <v>49100</v>
      </c>
      <c r="J185" s="277"/>
    </row>
    <row r="186" spans="1:14" ht="18.95" customHeight="1">
      <c r="A186" s="278"/>
      <c r="B186" s="279" t="s">
        <v>445</v>
      </c>
      <c r="C186" s="296">
        <v>1</v>
      </c>
      <c r="D186" s="296" t="s">
        <v>19</v>
      </c>
      <c r="E186" s="441">
        <v>14500</v>
      </c>
      <c r="F186" s="441">
        <f>SUM(E186*C186)</f>
        <v>14500</v>
      </c>
      <c r="G186" s="442" t="s">
        <v>124</v>
      </c>
      <c r="H186" s="442" t="s">
        <v>124</v>
      </c>
      <c r="I186" s="303">
        <f>SUM(F186)</f>
        <v>14500</v>
      </c>
      <c r="J186" s="277"/>
    </row>
    <row r="187" spans="1:14" ht="18.95" customHeight="1">
      <c r="A187" s="278"/>
      <c r="B187" s="279" t="s">
        <v>446</v>
      </c>
      <c r="C187" s="296">
        <v>1</v>
      </c>
      <c r="D187" s="296" t="s">
        <v>19</v>
      </c>
      <c r="E187" s="441">
        <v>4200</v>
      </c>
      <c r="F187" s="441">
        <f>SUM(E187*C187)</f>
        <v>4200</v>
      </c>
      <c r="G187" s="441">
        <v>1300</v>
      </c>
      <c r="H187" s="441">
        <f>SUM(G187*C187)</f>
        <v>1300</v>
      </c>
      <c r="I187" s="303">
        <f t="shared" ref="I187" si="6">SUM(H187+F187)</f>
        <v>5500</v>
      </c>
      <c r="J187" s="277"/>
    </row>
    <row r="188" spans="1:14" ht="18.95" customHeight="1">
      <c r="A188" s="278"/>
      <c r="B188" s="430" t="s">
        <v>495</v>
      </c>
      <c r="C188" s="285"/>
      <c r="D188" s="274"/>
      <c r="E188" s="444"/>
      <c r="F188" s="444"/>
      <c r="G188" s="441"/>
      <c r="H188" s="441"/>
      <c r="I188" s="303"/>
      <c r="J188" s="277"/>
      <c r="L188" s="196" t="s">
        <v>9</v>
      </c>
    </row>
    <row r="189" spans="1:14" ht="18.95" customHeight="1">
      <c r="A189" s="460"/>
      <c r="B189" s="277" t="s">
        <v>722</v>
      </c>
      <c r="C189" s="296">
        <v>16</v>
      </c>
      <c r="D189" s="296" t="s">
        <v>128</v>
      </c>
      <c r="E189" s="441">
        <v>620</v>
      </c>
      <c r="F189" s="441">
        <f>SUM(E189*C189)</f>
        <v>9920</v>
      </c>
      <c r="G189" s="441">
        <v>150</v>
      </c>
      <c r="H189" s="441">
        <f>SUM(G189*C189)</f>
        <v>2400</v>
      </c>
      <c r="I189" s="303">
        <f>SUM(H189+F189)</f>
        <v>12320</v>
      </c>
      <c r="J189" s="277"/>
      <c r="L189" s="196" t="s">
        <v>9</v>
      </c>
    </row>
    <row r="190" spans="1:14" ht="18.95" customHeight="1">
      <c r="A190" s="460"/>
      <c r="B190" s="277" t="s">
        <v>726</v>
      </c>
      <c r="C190" s="296">
        <v>4</v>
      </c>
      <c r="D190" s="296" t="s">
        <v>128</v>
      </c>
      <c r="E190" s="441">
        <v>1360</v>
      </c>
      <c r="F190" s="441">
        <f>SUM(E190*C190)</f>
        <v>5440</v>
      </c>
      <c r="G190" s="441">
        <v>300</v>
      </c>
      <c r="H190" s="441">
        <f>SUM(G190*C190)</f>
        <v>1200</v>
      </c>
      <c r="I190" s="303">
        <f>SUM(H190+F190)</f>
        <v>6640</v>
      </c>
      <c r="J190" s="277"/>
    </row>
    <row r="191" spans="1:14" s="283" customFormat="1" ht="18.95" customHeight="1">
      <c r="A191" s="460"/>
      <c r="B191" s="377" t="s">
        <v>496</v>
      </c>
      <c r="C191" s="296"/>
      <c r="D191" s="296"/>
      <c r="E191" s="441"/>
      <c r="F191" s="441"/>
      <c r="G191" s="441"/>
      <c r="H191" s="441"/>
      <c r="I191" s="303"/>
      <c r="J191" s="277"/>
      <c r="L191" s="284"/>
    </row>
    <row r="192" spans="1:14" s="283" customFormat="1" ht="18.95" customHeight="1">
      <c r="A192" s="296"/>
      <c r="B192" s="277" t="s">
        <v>728</v>
      </c>
      <c r="C192" s="467">
        <v>64</v>
      </c>
      <c r="D192" s="296" t="s">
        <v>157</v>
      </c>
      <c r="E192" s="441">
        <v>400</v>
      </c>
      <c r="F192" s="441">
        <f>SUM(C192*E192)</f>
        <v>25600</v>
      </c>
      <c r="G192" s="442" t="s">
        <v>124</v>
      </c>
      <c r="H192" s="442" t="s">
        <v>124</v>
      </c>
      <c r="I192" s="303">
        <f>SUM(F192)</f>
        <v>25600</v>
      </c>
      <c r="J192" s="277"/>
      <c r="L192" s="284"/>
    </row>
    <row r="193" spans="1:14" ht="18.95" customHeight="1">
      <c r="A193" s="296"/>
      <c r="B193" s="377" t="s">
        <v>497</v>
      </c>
      <c r="C193" s="299"/>
      <c r="D193" s="274"/>
      <c r="E193" s="441"/>
      <c r="F193" s="441"/>
      <c r="G193" s="442"/>
      <c r="H193" s="442"/>
      <c r="I193" s="303"/>
      <c r="J193" s="277"/>
      <c r="K193" s="286"/>
    </row>
    <row r="194" spans="1:14" ht="18.95" customHeight="1">
      <c r="A194" s="277"/>
      <c r="B194" s="277" t="s">
        <v>728</v>
      </c>
      <c r="C194" s="296">
        <v>64</v>
      </c>
      <c r="D194" s="296" t="s">
        <v>157</v>
      </c>
      <c r="E194" s="441">
        <v>990</v>
      </c>
      <c r="F194" s="441">
        <f t="shared" ref="F194" si="7">SUM(C194*E194)</f>
        <v>63360</v>
      </c>
      <c r="G194" s="442" t="s">
        <v>124</v>
      </c>
      <c r="H194" s="442" t="s">
        <v>124</v>
      </c>
      <c r="I194" s="303">
        <f t="shared" ref="I194" si="8">SUM(F194)</f>
        <v>63360</v>
      </c>
      <c r="J194" s="277"/>
      <c r="K194" s="286"/>
      <c r="M194" s="267" t="s">
        <v>9</v>
      </c>
    </row>
    <row r="195" spans="1:14" ht="18.95" customHeight="1">
      <c r="A195" s="277"/>
      <c r="B195" s="377" t="s">
        <v>503</v>
      </c>
      <c r="C195" s="296"/>
      <c r="D195" s="296"/>
      <c r="E195" s="441"/>
      <c r="F195" s="441"/>
      <c r="G195" s="441"/>
      <c r="H195" s="441"/>
      <c r="I195" s="303"/>
      <c r="J195" s="297"/>
      <c r="K195" s="286"/>
    </row>
    <row r="196" spans="1:14" ht="18.95" customHeight="1">
      <c r="A196" s="296"/>
      <c r="B196" s="277" t="s">
        <v>728</v>
      </c>
      <c r="C196" s="467">
        <v>6</v>
      </c>
      <c r="D196" s="296" t="s">
        <v>157</v>
      </c>
      <c r="E196" s="441">
        <v>570</v>
      </c>
      <c r="F196" s="441">
        <f>SUM(C196*E196)</f>
        <v>3420</v>
      </c>
      <c r="G196" s="442" t="s">
        <v>124</v>
      </c>
      <c r="H196" s="442" t="s">
        <v>124</v>
      </c>
      <c r="I196" s="303">
        <f>SUM(F196)</f>
        <v>3420</v>
      </c>
      <c r="J196" s="277"/>
      <c r="K196" s="286"/>
      <c r="L196" s="424" t="s">
        <v>9</v>
      </c>
    </row>
    <row r="197" spans="1:14" ht="18.95" customHeight="1">
      <c r="A197" s="300"/>
      <c r="B197" s="277" t="s">
        <v>729</v>
      </c>
      <c r="C197" s="467">
        <v>6</v>
      </c>
      <c r="D197" s="296" t="s">
        <v>157</v>
      </c>
      <c r="E197" s="441">
        <v>750</v>
      </c>
      <c r="F197" s="441">
        <f>SUM(C197*E197)</f>
        <v>4500</v>
      </c>
      <c r="G197" s="442" t="s">
        <v>124</v>
      </c>
      <c r="H197" s="442" t="s">
        <v>124</v>
      </c>
      <c r="I197" s="303">
        <f>SUM(F197)</f>
        <v>4500</v>
      </c>
      <c r="J197" s="277"/>
      <c r="K197" s="286"/>
      <c r="L197" s="424"/>
    </row>
    <row r="198" spans="1:14" ht="18.75" customHeight="1">
      <c r="A198" s="460"/>
      <c r="B198" s="288" t="s">
        <v>18</v>
      </c>
      <c r="C198" s="285"/>
      <c r="D198" s="274"/>
      <c r="E198" s="289"/>
      <c r="F198" s="290">
        <f>SUM(F178:F197)</f>
        <v>666848</v>
      </c>
      <c r="G198" s="291"/>
      <c r="H198" s="290">
        <f>SUM(H178:H197)</f>
        <v>63220</v>
      </c>
      <c r="I198" s="276"/>
      <c r="J198" s="277"/>
      <c r="K198" s="286">
        <f>SUM(F198+H198)</f>
        <v>730068</v>
      </c>
    </row>
    <row r="199" spans="1:14" ht="18.95" customHeight="1">
      <c r="A199" s="460"/>
      <c r="B199" s="278" t="s">
        <v>86</v>
      </c>
      <c r="C199" s="285"/>
      <c r="D199" s="274"/>
      <c r="E199" s="289"/>
      <c r="F199" s="281"/>
      <c r="G199" s="291"/>
      <c r="H199" s="292"/>
      <c r="I199" s="423">
        <f>SUM(I178:I197)</f>
        <v>730068</v>
      </c>
      <c r="J199" s="277"/>
      <c r="K199" s="286"/>
    </row>
    <row r="200" spans="1:14" ht="18.95" customHeight="1">
      <c r="A200" s="278"/>
      <c r="B200" s="643" t="s">
        <v>504</v>
      </c>
      <c r="C200" s="644"/>
      <c r="D200" s="645"/>
      <c r="E200" s="275"/>
      <c r="F200" s="275"/>
      <c r="G200" s="275"/>
      <c r="H200" s="275"/>
      <c r="I200" s="276"/>
      <c r="J200" s="277"/>
      <c r="M200" s="438"/>
    </row>
    <row r="201" spans="1:14" ht="18.95" customHeight="1">
      <c r="A201" s="278"/>
      <c r="B201" s="430" t="s">
        <v>505</v>
      </c>
      <c r="C201" s="285"/>
      <c r="D201" s="274"/>
      <c r="E201" s="281"/>
      <c r="F201" s="281"/>
      <c r="G201" s="281"/>
      <c r="H201" s="281"/>
      <c r="I201" s="276"/>
      <c r="J201" s="277"/>
      <c r="K201" s="286"/>
      <c r="M201" s="438" t="s">
        <v>384</v>
      </c>
      <c r="N201" s="438">
        <f>SUM(I183:I197)</f>
        <v>274068</v>
      </c>
    </row>
    <row r="202" spans="1:14" s="283" customFormat="1" ht="18.95" customHeight="1">
      <c r="A202" s="278"/>
      <c r="B202" s="277" t="s">
        <v>725</v>
      </c>
      <c r="C202" s="296">
        <v>6</v>
      </c>
      <c r="D202" s="296" t="s">
        <v>288</v>
      </c>
      <c r="E202" s="441">
        <v>442</v>
      </c>
      <c r="F202" s="441">
        <f>SUM(E202*C202)</f>
        <v>2652</v>
      </c>
      <c r="G202" s="441">
        <v>95</v>
      </c>
      <c r="H202" s="441">
        <f>SUM(G202*C202)</f>
        <v>570</v>
      </c>
      <c r="I202" s="303">
        <f>SUM(H202+F202)</f>
        <v>3222</v>
      </c>
      <c r="J202" s="277"/>
      <c r="K202" s="286">
        <f>+H198+F198</f>
        <v>730068</v>
      </c>
      <c r="L202" s="284"/>
    </row>
    <row r="203" spans="1:14" s="283" customFormat="1" ht="18.95" customHeight="1">
      <c r="A203" s="278"/>
      <c r="B203" s="277" t="s">
        <v>723</v>
      </c>
      <c r="C203" s="296">
        <v>60</v>
      </c>
      <c r="D203" s="296" t="s">
        <v>288</v>
      </c>
      <c r="E203" s="441">
        <v>700</v>
      </c>
      <c r="F203" s="441">
        <f>SUM(E203*C203)</f>
        <v>42000</v>
      </c>
      <c r="G203" s="441">
        <v>150</v>
      </c>
      <c r="H203" s="441">
        <f>SUM(G203*C203)</f>
        <v>9000</v>
      </c>
      <c r="I203" s="303">
        <f>SUM(H203+F203)</f>
        <v>51000</v>
      </c>
      <c r="J203" s="277"/>
      <c r="L203" s="284"/>
    </row>
    <row r="204" spans="1:14" s="283" customFormat="1" ht="20.100000000000001" customHeight="1">
      <c r="A204" s="278"/>
      <c r="B204" s="277" t="s">
        <v>722</v>
      </c>
      <c r="C204" s="296">
        <v>116</v>
      </c>
      <c r="D204" s="296" t="s">
        <v>288</v>
      </c>
      <c r="E204" s="441">
        <v>1275</v>
      </c>
      <c r="F204" s="441">
        <f>SUM(E204*C204)</f>
        <v>147900</v>
      </c>
      <c r="G204" s="441">
        <v>280</v>
      </c>
      <c r="H204" s="441">
        <f>SUM(G204*C204)</f>
        <v>32480</v>
      </c>
      <c r="I204" s="303">
        <f>SUM(H204+F204)</f>
        <v>180380</v>
      </c>
      <c r="J204" s="277"/>
      <c r="L204" s="284"/>
    </row>
    <row r="205" spans="1:14" ht="20.100000000000001" customHeight="1">
      <c r="A205" s="278"/>
      <c r="B205" s="277" t="s">
        <v>730</v>
      </c>
      <c r="C205" s="296">
        <v>6</v>
      </c>
      <c r="D205" s="296" t="s">
        <v>288</v>
      </c>
      <c r="E205" s="441">
        <v>1732</v>
      </c>
      <c r="F205" s="441">
        <f>SUM(E205*C205)</f>
        <v>10392</v>
      </c>
      <c r="G205" s="442" t="s">
        <v>124</v>
      </c>
      <c r="H205" s="442" t="s">
        <v>124</v>
      </c>
      <c r="I205" s="303">
        <f>SUM(F205)</f>
        <v>10392</v>
      </c>
      <c r="J205" s="277"/>
    </row>
    <row r="206" spans="1:14" ht="20.100000000000001" customHeight="1">
      <c r="A206" s="278"/>
      <c r="B206" s="279" t="s">
        <v>445</v>
      </c>
      <c r="C206" s="296">
        <v>1</v>
      </c>
      <c r="D206" s="296" t="s">
        <v>19</v>
      </c>
      <c r="E206" s="441">
        <v>15000</v>
      </c>
      <c r="F206" s="441">
        <f t="shared" ref="F206:F208" si="9">SUM(E206*C206)</f>
        <v>15000</v>
      </c>
      <c r="G206" s="442" t="s">
        <v>124</v>
      </c>
      <c r="H206" s="442" t="s">
        <v>124</v>
      </c>
      <c r="I206" s="303">
        <f>SUM(F206)</f>
        <v>15000</v>
      </c>
      <c r="J206" s="277"/>
    </row>
    <row r="207" spans="1:14" ht="20.100000000000001" customHeight="1">
      <c r="A207" s="278"/>
      <c r="B207" s="279" t="s">
        <v>506</v>
      </c>
      <c r="C207" s="296">
        <v>1</v>
      </c>
      <c r="D207" s="296" t="s">
        <v>19</v>
      </c>
      <c r="E207" s="441">
        <v>5400</v>
      </c>
      <c r="F207" s="441">
        <f t="shared" si="9"/>
        <v>5400</v>
      </c>
      <c r="G207" s="441">
        <v>1600</v>
      </c>
      <c r="H207" s="441">
        <f>SUM(G207*C207)</f>
        <v>1600</v>
      </c>
      <c r="I207" s="303">
        <f>SUM(H207+F207)</f>
        <v>7000</v>
      </c>
      <c r="J207" s="277"/>
    </row>
    <row r="208" spans="1:14" ht="20.100000000000001" customHeight="1">
      <c r="A208" s="278"/>
      <c r="B208" s="391" t="s">
        <v>507</v>
      </c>
      <c r="C208" s="296">
        <v>1</v>
      </c>
      <c r="D208" s="296" t="s">
        <v>19</v>
      </c>
      <c r="E208" s="441">
        <v>16300</v>
      </c>
      <c r="F208" s="441">
        <f t="shared" si="9"/>
        <v>16300</v>
      </c>
      <c r="G208" s="441">
        <v>4900</v>
      </c>
      <c r="H208" s="441">
        <f>SUM(G208*C208)</f>
        <v>4900</v>
      </c>
      <c r="I208" s="303">
        <f>SUM(H208+F208)</f>
        <v>21200</v>
      </c>
      <c r="J208" s="277"/>
    </row>
    <row r="209" spans="1:13" ht="20.100000000000001" customHeight="1">
      <c r="A209" s="278"/>
      <c r="B209" s="430" t="s">
        <v>467</v>
      </c>
      <c r="C209" s="392"/>
      <c r="D209" s="392"/>
      <c r="E209" s="385"/>
      <c r="F209" s="384"/>
      <c r="G209" s="476"/>
      <c r="H209" s="477"/>
      <c r="I209" s="376"/>
      <c r="J209" s="277"/>
      <c r="L209" s="196" t="s">
        <v>9</v>
      </c>
    </row>
    <row r="210" spans="1:13" ht="20.100000000000001" customHeight="1">
      <c r="A210" s="278"/>
      <c r="B210" s="277" t="s">
        <v>725</v>
      </c>
      <c r="C210" s="296">
        <v>1</v>
      </c>
      <c r="D210" s="296" t="s">
        <v>128</v>
      </c>
      <c r="E210" s="441">
        <v>1500</v>
      </c>
      <c r="F210" s="441">
        <f>SUM(E210*C210)</f>
        <v>1500</v>
      </c>
      <c r="G210" s="441">
        <v>400</v>
      </c>
      <c r="H210" s="441">
        <f>SUM(G210*C210)</f>
        <v>400</v>
      </c>
      <c r="I210" s="303">
        <f>SUM(H210+F210)</f>
        <v>1900</v>
      </c>
      <c r="J210" s="277"/>
    </row>
    <row r="211" spans="1:13" s="283" customFormat="1" ht="20.100000000000001" customHeight="1">
      <c r="A211" s="278"/>
      <c r="B211" s="277" t="s">
        <v>723</v>
      </c>
      <c r="C211" s="296">
        <v>1</v>
      </c>
      <c r="D211" s="296" t="s">
        <v>128</v>
      </c>
      <c r="E211" s="441">
        <v>1880</v>
      </c>
      <c r="F211" s="441">
        <f>SUM(E211*C211)</f>
        <v>1880</v>
      </c>
      <c r="G211" s="441">
        <v>500</v>
      </c>
      <c r="H211" s="441">
        <f>SUM(G211*C211)</f>
        <v>500</v>
      </c>
      <c r="I211" s="303">
        <f>SUM(H211+F211)</f>
        <v>2380</v>
      </c>
      <c r="J211" s="277"/>
      <c r="L211" s="284"/>
    </row>
    <row r="212" spans="1:13" ht="20.100000000000001" customHeight="1">
      <c r="A212" s="278"/>
      <c r="B212" s="277" t="s">
        <v>722</v>
      </c>
      <c r="C212" s="296">
        <v>1</v>
      </c>
      <c r="D212" s="296" t="s">
        <v>128</v>
      </c>
      <c r="E212" s="441">
        <v>3120</v>
      </c>
      <c r="F212" s="441">
        <f>SUM(E212*C212)</f>
        <v>3120</v>
      </c>
      <c r="G212" s="441">
        <v>800</v>
      </c>
      <c r="H212" s="441">
        <f>SUM(G212*C212)</f>
        <v>800</v>
      </c>
      <c r="I212" s="303">
        <f>SUM(H212+F212)</f>
        <v>3920</v>
      </c>
      <c r="J212" s="277"/>
      <c r="M212" s="267" t="s">
        <v>9</v>
      </c>
    </row>
    <row r="213" spans="1:13" ht="20.100000000000001" customHeight="1">
      <c r="A213" s="278"/>
      <c r="B213" s="277" t="s">
        <v>730</v>
      </c>
      <c r="C213" s="296">
        <v>1</v>
      </c>
      <c r="D213" s="296" t="s">
        <v>128</v>
      </c>
      <c r="E213" s="441">
        <v>4220</v>
      </c>
      <c r="F213" s="441">
        <f>SUM(E213*C213)</f>
        <v>4220</v>
      </c>
      <c r="G213" s="442" t="s">
        <v>124</v>
      </c>
      <c r="H213" s="442" t="s">
        <v>124</v>
      </c>
      <c r="I213" s="303">
        <f>SUM(F213)</f>
        <v>4220</v>
      </c>
      <c r="J213" s="277"/>
      <c r="L213" s="424"/>
    </row>
    <row r="214" spans="1:13" ht="20.100000000000001" customHeight="1">
      <c r="A214" s="278"/>
      <c r="B214" s="521" t="s">
        <v>508</v>
      </c>
      <c r="C214" s="277"/>
      <c r="D214" s="277"/>
      <c r="E214" s="277"/>
      <c r="F214" s="277"/>
      <c r="G214" s="277"/>
      <c r="H214" s="277"/>
      <c r="I214" s="277"/>
      <c r="J214" s="277"/>
      <c r="M214" s="267" t="s">
        <v>9</v>
      </c>
    </row>
    <row r="215" spans="1:13" ht="20.100000000000001" customHeight="1">
      <c r="A215" s="278"/>
      <c r="B215" s="277" t="s">
        <v>725</v>
      </c>
      <c r="C215" s="296">
        <v>1</v>
      </c>
      <c r="D215" s="296" t="s">
        <v>128</v>
      </c>
      <c r="E215" s="441">
        <v>9440</v>
      </c>
      <c r="F215" s="441">
        <f>SUM(E215*C215)</f>
        <v>9440</v>
      </c>
      <c r="G215" s="442" t="s">
        <v>124</v>
      </c>
      <c r="H215" s="442" t="s">
        <v>124</v>
      </c>
      <c r="I215" s="303">
        <f>SUM(F215)</f>
        <v>9440</v>
      </c>
      <c r="J215" s="277"/>
      <c r="K215" s="286"/>
    </row>
    <row r="216" spans="1:13" ht="20.100000000000001" customHeight="1">
      <c r="A216" s="278"/>
      <c r="B216" s="277" t="s">
        <v>723</v>
      </c>
      <c r="C216" s="296">
        <v>1</v>
      </c>
      <c r="D216" s="296" t="s">
        <v>128</v>
      </c>
      <c r="E216" s="441">
        <v>12000</v>
      </c>
      <c r="F216" s="441">
        <f>SUM(E216*C216)</f>
        <v>12000</v>
      </c>
      <c r="G216" s="442" t="s">
        <v>124</v>
      </c>
      <c r="H216" s="442" t="s">
        <v>124</v>
      </c>
      <c r="I216" s="303">
        <f t="shared" ref="I216:I218" si="10">SUM(F216)</f>
        <v>12000</v>
      </c>
      <c r="J216" s="277"/>
      <c r="K216" s="286"/>
    </row>
    <row r="217" spans="1:13" ht="20.100000000000001" customHeight="1">
      <c r="A217" s="278"/>
      <c r="B217" s="277" t="s">
        <v>719</v>
      </c>
      <c r="C217" s="296">
        <v>2</v>
      </c>
      <c r="D217" s="296" t="s">
        <v>128</v>
      </c>
      <c r="E217" s="441">
        <v>14400</v>
      </c>
      <c r="F217" s="441">
        <f>SUM(E217*C217)</f>
        <v>28800</v>
      </c>
      <c r="G217" s="442" t="s">
        <v>124</v>
      </c>
      <c r="H217" s="442" t="s">
        <v>124</v>
      </c>
      <c r="I217" s="303">
        <f t="shared" si="10"/>
        <v>28800</v>
      </c>
      <c r="J217" s="277"/>
      <c r="K217" s="286"/>
      <c r="M217" s="267" t="s">
        <v>9</v>
      </c>
    </row>
    <row r="218" spans="1:13" ht="20.100000000000001" customHeight="1">
      <c r="A218" s="278"/>
      <c r="B218" s="277" t="s">
        <v>722</v>
      </c>
      <c r="C218" s="296">
        <v>3</v>
      </c>
      <c r="D218" s="296" t="s">
        <v>128</v>
      </c>
      <c r="E218" s="441">
        <v>16000</v>
      </c>
      <c r="F218" s="441">
        <f>SUM(E218*C218)</f>
        <v>48000</v>
      </c>
      <c r="G218" s="442" t="s">
        <v>124</v>
      </c>
      <c r="H218" s="442" t="s">
        <v>124</v>
      </c>
      <c r="I218" s="303">
        <f t="shared" si="10"/>
        <v>48000</v>
      </c>
      <c r="J218" s="277"/>
      <c r="K218" s="286"/>
      <c r="M218" s="267" t="s">
        <v>9</v>
      </c>
    </row>
    <row r="219" spans="1:13" ht="20.100000000000001" customHeight="1">
      <c r="A219" s="460"/>
      <c r="B219" s="288" t="s">
        <v>18</v>
      </c>
      <c r="C219" s="285"/>
      <c r="D219" s="274"/>
      <c r="E219" s="289"/>
      <c r="F219" s="290">
        <f>SUM(F201:F218)</f>
        <v>348604</v>
      </c>
      <c r="G219" s="291"/>
      <c r="H219" s="290">
        <f>SUM(H201:H218)</f>
        <v>50250</v>
      </c>
      <c r="I219" s="276"/>
      <c r="J219" s="277"/>
      <c r="K219" s="286">
        <f>SUM(F219+H219)</f>
        <v>398854</v>
      </c>
    </row>
    <row r="220" spans="1:13" ht="20.100000000000001" customHeight="1">
      <c r="A220" s="460"/>
      <c r="B220" s="278" t="s">
        <v>86</v>
      </c>
      <c r="C220" s="285"/>
      <c r="D220" s="274"/>
      <c r="E220" s="289"/>
      <c r="F220" s="281"/>
      <c r="G220" s="291"/>
      <c r="H220" s="292"/>
      <c r="I220" s="423">
        <f>SUM(I200:I218)</f>
        <v>398854</v>
      </c>
      <c r="J220" s="439"/>
      <c r="K220" s="286"/>
    </row>
    <row r="221" spans="1:13" ht="20.100000000000001" customHeight="1">
      <c r="A221" s="278"/>
      <c r="B221" s="643" t="s">
        <v>509</v>
      </c>
      <c r="C221" s="644"/>
      <c r="D221" s="645"/>
      <c r="E221" s="559"/>
      <c r="F221" s="560"/>
      <c r="G221" s="561"/>
      <c r="H221" s="561"/>
      <c r="I221" s="282"/>
      <c r="J221" s="277"/>
      <c r="K221" s="286"/>
    </row>
    <row r="222" spans="1:13" ht="20.100000000000001" customHeight="1">
      <c r="A222" s="278"/>
      <c r="B222" s="521" t="s">
        <v>449</v>
      </c>
      <c r="C222" s="277"/>
      <c r="D222" s="277"/>
      <c r="E222" s="277"/>
      <c r="F222" s="277"/>
      <c r="G222" s="277"/>
      <c r="H222" s="277"/>
      <c r="I222" s="303"/>
      <c r="J222" s="277"/>
      <c r="K222" s="286"/>
      <c r="L222" s="424"/>
      <c r="M222" s="438">
        <f>SUM(I202:I218)</f>
        <v>398854</v>
      </c>
    </row>
    <row r="223" spans="1:13" s="283" customFormat="1" ht="20.100000000000001" customHeight="1">
      <c r="A223" s="278"/>
      <c r="B223" s="277" t="s">
        <v>730</v>
      </c>
      <c r="C223" s="296">
        <v>1</v>
      </c>
      <c r="D223" s="296" t="s">
        <v>128</v>
      </c>
      <c r="E223" s="441">
        <v>21770</v>
      </c>
      <c r="F223" s="441">
        <f>SUM(E223*C223)</f>
        <v>21770</v>
      </c>
      <c r="G223" s="442" t="s">
        <v>124</v>
      </c>
      <c r="H223" s="442" t="s">
        <v>124</v>
      </c>
      <c r="I223" s="303">
        <f t="shared" ref="I223:I230" si="11">SUM(F223)</f>
        <v>21770</v>
      </c>
      <c r="J223" s="277"/>
      <c r="K223" s="286">
        <f>SUM(F219+H219)</f>
        <v>398854</v>
      </c>
      <c r="L223" s="284"/>
    </row>
    <row r="224" spans="1:13" s="283" customFormat="1" ht="20.100000000000001" customHeight="1">
      <c r="A224" s="279"/>
      <c r="B224" s="377" t="s">
        <v>466</v>
      </c>
      <c r="C224" s="277"/>
      <c r="D224" s="277"/>
      <c r="E224" s="277"/>
      <c r="F224" s="277"/>
      <c r="G224" s="277"/>
      <c r="H224" s="277"/>
      <c r="I224" s="303"/>
      <c r="J224" s="277"/>
      <c r="L224" s="284"/>
    </row>
    <row r="225" spans="1:13" s="283" customFormat="1" ht="20.100000000000001" customHeight="1">
      <c r="A225" s="279"/>
      <c r="B225" s="277" t="s">
        <v>725</v>
      </c>
      <c r="C225" s="296">
        <v>1</v>
      </c>
      <c r="D225" s="296" t="s">
        <v>128</v>
      </c>
      <c r="E225" s="441">
        <v>7200</v>
      </c>
      <c r="F225" s="441">
        <f>SUM(E225*C225)</f>
        <v>7200</v>
      </c>
      <c r="G225" s="442" t="s">
        <v>124</v>
      </c>
      <c r="H225" s="442" t="s">
        <v>124</v>
      </c>
      <c r="I225" s="303">
        <f t="shared" si="11"/>
        <v>7200</v>
      </c>
      <c r="J225" s="277"/>
      <c r="L225" s="284"/>
    </row>
    <row r="226" spans="1:13" s="283" customFormat="1" ht="20.100000000000001" customHeight="1">
      <c r="A226" s="278"/>
      <c r="B226" s="277" t="s">
        <v>719</v>
      </c>
      <c r="C226" s="296">
        <v>2</v>
      </c>
      <c r="D226" s="296" t="s">
        <v>128</v>
      </c>
      <c r="E226" s="441">
        <v>8800</v>
      </c>
      <c r="F226" s="441">
        <f>SUM(E226*C226)</f>
        <v>17600</v>
      </c>
      <c r="G226" s="442" t="s">
        <v>124</v>
      </c>
      <c r="H226" s="442" t="s">
        <v>124</v>
      </c>
      <c r="I226" s="303">
        <f t="shared" si="11"/>
        <v>17600</v>
      </c>
      <c r="J226" s="277"/>
      <c r="L226" s="284"/>
    </row>
    <row r="227" spans="1:13" s="283" customFormat="1" ht="20.100000000000001" customHeight="1">
      <c r="A227" s="278"/>
      <c r="B227" s="277" t="s">
        <v>722</v>
      </c>
      <c r="C227" s="296">
        <v>2</v>
      </c>
      <c r="D227" s="296" t="s">
        <v>128</v>
      </c>
      <c r="E227" s="441">
        <v>11200</v>
      </c>
      <c r="F227" s="441">
        <f>SUM(E227*C227)</f>
        <v>22400</v>
      </c>
      <c r="G227" s="442" t="s">
        <v>124</v>
      </c>
      <c r="H227" s="442" t="s">
        <v>124</v>
      </c>
      <c r="I227" s="303">
        <f t="shared" si="11"/>
        <v>22400</v>
      </c>
      <c r="J227" s="277"/>
      <c r="L227" s="284"/>
    </row>
    <row r="228" spans="1:13" ht="20.100000000000001" customHeight="1">
      <c r="A228" s="278"/>
      <c r="B228" s="377" t="s">
        <v>510</v>
      </c>
      <c r="C228" s="277"/>
      <c r="D228" s="277"/>
      <c r="E228" s="277"/>
      <c r="F228" s="277"/>
      <c r="G228" s="442"/>
      <c r="H228" s="442"/>
      <c r="I228" s="303" t="s">
        <v>9</v>
      </c>
      <c r="J228" s="277"/>
    </row>
    <row r="229" spans="1:13" ht="20.100000000000001" customHeight="1">
      <c r="A229" s="278"/>
      <c r="B229" s="277" t="s">
        <v>731</v>
      </c>
      <c r="C229" s="296">
        <v>2</v>
      </c>
      <c r="D229" s="296" t="s">
        <v>128</v>
      </c>
      <c r="E229" s="441">
        <v>400</v>
      </c>
      <c r="F229" s="441">
        <f>SUM(E229*C229)</f>
        <v>800</v>
      </c>
      <c r="G229" s="442" t="s">
        <v>124</v>
      </c>
      <c r="H229" s="442" t="s">
        <v>124</v>
      </c>
      <c r="I229" s="303">
        <f t="shared" si="11"/>
        <v>800</v>
      </c>
      <c r="J229" s="277"/>
    </row>
    <row r="230" spans="1:13" ht="20.100000000000001" customHeight="1">
      <c r="A230" s="278"/>
      <c r="B230" s="277" t="s">
        <v>723</v>
      </c>
      <c r="C230" s="296">
        <v>1</v>
      </c>
      <c r="D230" s="296" t="s">
        <v>128</v>
      </c>
      <c r="E230" s="441">
        <v>5120</v>
      </c>
      <c r="F230" s="441">
        <f>SUM(E230*C230)</f>
        <v>5120</v>
      </c>
      <c r="G230" s="442" t="s">
        <v>124</v>
      </c>
      <c r="H230" s="442" t="s">
        <v>124</v>
      </c>
      <c r="I230" s="303">
        <f t="shared" si="11"/>
        <v>5120</v>
      </c>
      <c r="J230" s="277"/>
    </row>
    <row r="231" spans="1:13" ht="20.100000000000001" customHeight="1">
      <c r="A231" s="278"/>
      <c r="B231" s="430" t="s">
        <v>468</v>
      </c>
      <c r="C231" s="285"/>
      <c r="D231" s="274"/>
      <c r="E231" s="444"/>
      <c r="F231" s="444"/>
      <c r="G231" s="441"/>
      <c r="H231" s="441"/>
      <c r="I231" s="303"/>
      <c r="J231" s="277"/>
    </row>
    <row r="232" spans="1:13" ht="20.100000000000001" customHeight="1">
      <c r="A232" s="460"/>
      <c r="B232" s="277" t="s">
        <v>723</v>
      </c>
      <c r="C232" s="296">
        <v>1</v>
      </c>
      <c r="D232" s="296" t="s">
        <v>128</v>
      </c>
      <c r="E232" s="441">
        <v>5992</v>
      </c>
      <c r="F232" s="441">
        <f>SUM(E232*C232)</f>
        <v>5992</v>
      </c>
      <c r="G232" s="442" t="s">
        <v>124</v>
      </c>
      <c r="H232" s="442" t="s">
        <v>124</v>
      </c>
      <c r="I232" s="303">
        <f>SUM(F232)</f>
        <v>5992</v>
      </c>
      <c r="J232" s="277"/>
      <c r="M232" s="267" t="s">
        <v>9</v>
      </c>
    </row>
    <row r="233" spans="1:13" ht="20.100000000000001" customHeight="1">
      <c r="A233" s="460"/>
      <c r="B233" s="277" t="s">
        <v>730</v>
      </c>
      <c r="C233" s="296">
        <v>1</v>
      </c>
      <c r="D233" s="296" t="s">
        <v>128</v>
      </c>
      <c r="E233" s="441">
        <v>15420</v>
      </c>
      <c r="F233" s="441">
        <f>SUM(E233*C233)</f>
        <v>15420</v>
      </c>
      <c r="G233" s="442" t="s">
        <v>124</v>
      </c>
      <c r="H233" s="442" t="s">
        <v>124</v>
      </c>
      <c r="I233" s="303">
        <f t="shared" ref="I233:I237" si="12">SUM(F233)</f>
        <v>15420</v>
      </c>
      <c r="J233" s="277"/>
    </row>
    <row r="234" spans="1:13" s="283" customFormat="1" ht="20.100000000000001" customHeight="1">
      <c r="A234" s="460"/>
      <c r="B234" s="377" t="s">
        <v>511</v>
      </c>
      <c r="C234" s="277"/>
      <c r="D234" s="277"/>
      <c r="E234" s="277"/>
      <c r="F234" s="277"/>
      <c r="G234" s="277"/>
      <c r="H234" s="277"/>
      <c r="I234" s="303"/>
      <c r="J234" s="277"/>
      <c r="L234" s="284"/>
    </row>
    <row r="235" spans="1:13" s="283" customFormat="1" ht="20.100000000000001" customHeight="1">
      <c r="A235" s="296"/>
      <c r="B235" s="277" t="s">
        <v>732</v>
      </c>
      <c r="C235" s="296">
        <v>1</v>
      </c>
      <c r="D235" s="296" t="s">
        <v>128</v>
      </c>
      <c r="E235" s="441">
        <v>3680</v>
      </c>
      <c r="F235" s="441">
        <f>SUM(E235*C235)</f>
        <v>3680</v>
      </c>
      <c r="G235" s="442" t="s">
        <v>124</v>
      </c>
      <c r="H235" s="442" t="s">
        <v>124</v>
      </c>
      <c r="I235" s="303">
        <f t="shared" si="12"/>
        <v>3680</v>
      </c>
      <c r="J235" s="277"/>
      <c r="L235" s="284" t="s">
        <v>9</v>
      </c>
    </row>
    <row r="236" spans="1:13" ht="20.100000000000001" customHeight="1">
      <c r="A236" s="277"/>
      <c r="B236" s="377" t="s">
        <v>512</v>
      </c>
      <c r="C236" s="277"/>
      <c r="D236" s="277"/>
      <c r="E236" s="277"/>
      <c r="F236" s="277"/>
      <c r="G236" s="277"/>
      <c r="H236" s="277"/>
      <c r="I236" s="303"/>
      <c r="J236" s="277"/>
      <c r="K236" s="286"/>
    </row>
    <row r="237" spans="1:13" ht="20.100000000000001" customHeight="1">
      <c r="A237" s="277"/>
      <c r="B237" s="277" t="s">
        <v>722</v>
      </c>
      <c r="C237" s="440">
        <v>1</v>
      </c>
      <c r="D237" s="383" t="s">
        <v>157</v>
      </c>
      <c r="E237" s="385">
        <v>34000</v>
      </c>
      <c r="F237" s="384">
        <f t="shared" ref="F237" si="13">C237*E237</f>
        <v>34000</v>
      </c>
      <c r="G237" s="442" t="s">
        <v>124</v>
      </c>
      <c r="H237" s="442" t="s">
        <v>124</v>
      </c>
      <c r="I237" s="303">
        <f t="shared" si="12"/>
        <v>34000</v>
      </c>
      <c r="J237" s="297"/>
      <c r="K237" s="286"/>
      <c r="M237" s="267" t="s">
        <v>9</v>
      </c>
    </row>
    <row r="238" spans="1:13" ht="20.100000000000001" customHeight="1">
      <c r="A238" s="296"/>
      <c r="B238" s="279"/>
      <c r="C238" s="298"/>
      <c r="D238" s="274"/>
      <c r="E238" s="280"/>
      <c r="F238" s="280"/>
      <c r="G238" s="281"/>
      <c r="H238" s="281"/>
      <c r="I238" s="282"/>
      <c r="J238" s="277"/>
      <c r="K238" s="286"/>
    </row>
    <row r="239" spans="1:13" ht="20.100000000000001" customHeight="1">
      <c r="A239" s="300"/>
      <c r="B239" s="279"/>
      <c r="C239" s="299"/>
      <c r="D239" s="274"/>
      <c r="E239" s="281"/>
      <c r="F239" s="281"/>
      <c r="G239" s="301"/>
      <c r="H239" s="281"/>
      <c r="I239" s="282"/>
      <c r="J239" s="277"/>
      <c r="K239" s="286"/>
      <c r="L239" s="424"/>
    </row>
    <row r="240" spans="1:13" ht="20.100000000000001" customHeight="1">
      <c r="A240" s="460"/>
      <c r="B240" s="288" t="s">
        <v>18</v>
      </c>
      <c r="C240" s="285"/>
      <c r="D240" s="274"/>
      <c r="E240" s="289"/>
      <c r="F240" s="290">
        <f>SUM(F221:F239)</f>
        <v>133982</v>
      </c>
      <c r="G240" s="291"/>
      <c r="H240" s="290"/>
      <c r="I240" s="276"/>
      <c r="J240" s="277"/>
      <c r="K240" s="286"/>
    </row>
    <row r="241" spans="1:14" ht="20.100000000000001" customHeight="1">
      <c r="A241" s="460"/>
      <c r="B241" s="278" t="s">
        <v>86</v>
      </c>
      <c r="C241" s="285"/>
      <c r="D241" s="274"/>
      <c r="E241" s="289"/>
      <c r="F241" s="281"/>
      <c r="G241" s="291"/>
      <c r="H241" s="292"/>
      <c r="I241" s="423">
        <f>SUM(I221:I239)</f>
        <v>133982</v>
      </c>
      <c r="J241" s="277"/>
      <c r="K241" s="286"/>
      <c r="M241" s="438">
        <f>SUM(I222:I237)</f>
        <v>133982</v>
      </c>
    </row>
    <row r="242" spans="1:14" ht="20.100000000000001" customHeight="1">
      <c r="A242" s="278"/>
      <c r="B242" s="643" t="s">
        <v>509</v>
      </c>
      <c r="C242" s="644"/>
      <c r="D242" s="645"/>
      <c r="E242" s="275"/>
      <c r="F242" s="275"/>
      <c r="G242" s="275"/>
      <c r="H242" s="275"/>
      <c r="I242" s="276"/>
      <c r="J242" s="277"/>
    </row>
    <row r="243" spans="1:14" ht="20.100000000000001" customHeight="1">
      <c r="A243" s="278"/>
      <c r="B243" s="473" t="s">
        <v>513</v>
      </c>
      <c r="C243" s="440"/>
      <c r="D243" s="383"/>
      <c r="E243" s="385"/>
      <c r="F243" s="384"/>
      <c r="G243" s="472"/>
      <c r="H243" s="472"/>
      <c r="I243" s="303"/>
      <c r="J243" s="277"/>
      <c r="K243" s="286"/>
    </row>
    <row r="244" spans="1:14" s="283" customFormat="1" ht="20.100000000000001" customHeight="1">
      <c r="A244" s="278"/>
      <c r="B244" s="277" t="s">
        <v>723</v>
      </c>
      <c r="C244" s="296">
        <v>1</v>
      </c>
      <c r="D244" s="296" t="s">
        <v>128</v>
      </c>
      <c r="E244" s="441">
        <v>1600</v>
      </c>
      <c r="F244" s="441">
        <f>SUM(E244*C244)</f>
        <v>1600</v>
      </c>
      <c r="G244" s="442" t="s">
        <v>124</v>
      </c>
      <c r="H244" s="442" t="s">
        <v>124</v>
      </c>
      <c r="I244" s="303">
        <f t="shared" ref="I244:I246" si="14">SUM(F244)</f>
        <v>1600</v>
      </c>
      <c r="J244" s="277"/>
      <c r="K244" s="286">
        <f>+H240+F240</f>
        <v>133982</v>
      </c>
      <c r="L244" s="284"/>
    </row>
    <row r="245" spans="1:14" s="283" customFormat="1" ht="20.100000000000001" customHeight="1">
      <c r="A245" s="278"/>
      <c r="B245" s="277" t="s">
        <v>722</v>
      </c>
      <c r="C245" s="440">
        <v>2</v>
      </c>
      <c r="D245" s="296" t="s">
        <v>128</v>
      </c>
      <c r="E245" s="385">
        <v>2000</v>
      </c>
      <c r="F245" s="384">
        <f t="shared" ref="F245" si="15">C245*E245</f>
        <v>4000</v>
      </c>
      <c r="G245" s="442" t="s">
        <v>124</v>
      </c>
      <c r="H245" s="442" t="s">
        <v>124</v>
      </c>
      <c r="I245" s="303">
        <f t="shared" si="14"/>
        <v>4000</v>
      </c>
      <c r="J245" s="277"/>
      <c r="L245" s="284"/>
    </row>
    <row r="246" spans="1:14" s="283" customFormat="1" ht="20.100000000000001" customHeight="1">
      <c r="A246" s="278"/>
      <c r="B246" s="277" t="s">
        <v>730</v>
      </c>
      <c r="C246" s="296">
        <v>1</v>
      </c>
      <c r="D246" s="296" t="s">
        <v>128</v>
      </c>
      <c r="E246" s="441">
        <v>2400</v>
      </c>
      <c r="F246" s="441">
        <f>SUM(E246*C246)</f>
        <v>2400</v>
      </c>
      <c r="G246" s="442" t="s">
        <v>124</v>
      </c>
      <c r="H246" s="442" t="s">
        <v>124</v>
      </c>
      <c r="I246" s="303">
        <f t="shared" si="14"/>
        <v>2400</v>
      </c>
      <c r="J246" s="277"/>
      <c r="L246" s="284"/>
    </row>
    <row r="247" spans="1:14" ht="20.100000000000001" customHeight="1">
      <c r="A247" s="278"/>
      <c r="B247" s="377" t="s">
        <v>514</v>
      </c>
      <c r="C247" s="392"/>
      <c r="D247" s="296"/>
      <c r="E247" s="576"/>
      <c r="F247" s="576"/>
      <c r="G247" s="577"/>
      <c r="H247" s="577"/>
      <c r="I247" s="303"/>
      <c r="J247" s="277"/>
    </row>
    <row r="248" spans="1:14" ht="20.100000000000001" customHeight="1">
      <c r="A248" s="278"/>
      <c r="B248" s="277" t="s">
        <v>515</v>
      </c>
      <c r="C248" s="296">
        <v>10</v>
      </c>
      <c r="D248" s="296" t="s">
        <v>156</v>
      </c>
      <c r="E248" s="576">
        <v>5200</v>
      </c>
      <c r="F248" s="576">
        <f t="shared" ref="F248:F256" si="16">SUM(C248*E248)</f>
        <v>52000</v>
      </c>
      <c r="G248" s="577" t="s">
        <v>124</v>
      </c>
      <c r="H248" s="577" t="s">
        <v>124</v>
      </c>
      <c r="I248" s="303">
        <f t="shared" ref="I248:I255" si="17">SUM(F248)</f>
        <v>52000</v>
      </c>
      <c r="J248" s="277"/>
    </row>
    <row r="249" spans="1:14" ht="20.100000000000001" customHeight="1">
      <c r="A249" s="278"/>
      <c r="B249" s="277" t="s">
        <v>733</v>
      </c>
      <c r="C249" s="296">
        <v>10</v>
      </c>
      <c r="D249" s="296" t="s">
        <v>128</v>
      </c>
      <c r="E249" s="576">
        <v>7600</v>
      </c>
      <c r="F249" s="576">
        <f t="shared" si="16"/>
        <v>76000</v>
      </c>
      <c r="G249" s="577" t="s">
        <v>124</v>
      </c>
      <c r="H249" s="577" t="s">
        <v>124</v>
      </c>
      <c r="I249" s="303">
        <f t="shared" si="17"/>
        <v>76000</v>
      </c>
      <c r="J249" s="277"/>
    </row>
    <row r="250" spans="1:14" ht="20.100000000000001" customHeight="1">
      <c r="A250" s="278"/>
      <c r="B250" s="277" t="s">
        <v>734</v>
      </c>
      <c r="C250" s="296">
        <v>10</v>
      </c>
      <c r="D250" s="296" t="s">
        <v>128</v>
      </c>
      <c r="E250" s="576">
        <v>720</v>
      </c>
      <c r="F250" s="576">
        <f t="shared" si="16"/>
        <v>7200</v>
      </c>
      <c r="G250" s="577" t="s">
        <v>124</v>
      </c>
      <c r="H250" s="577" t="s">
        <v>124</v>
      </c>
      <c r="I250" s="303">
        <f t="shared" si="17"/>
        <v>7200</v>
      </c>
      <c r="J250" s="277"/>
      <c r="M250" s="438">
        <f>SUM(I244:I246)</f>
        <v>8000</v>
      </c>
      <c r="N250" s="438">
        <f>SUM(M222+M241+M250)</f>
        <v>540836</v>
      </c>
    </row>
    <row r="251" spans="1:14" ht="20.100000000000001" customHeight="1">
      <c r="A251" s="278"/>
      <c r="B251" s="277" t="s">
        <v>735</v>
      </c>
      <c r="C251" s="296">
        <v>10</v>
      </c>
      <c r="D251" s="296" t="s">
        <v>128</v>
      </c>
      <c r="E251" s="576">
        <v>7600</v>
      </c>
      <c r="F251" s="576">
        <f t="shared" si="16"/>
        <v>76000</v>
      </c>
      <c r="G251" s="577" t="s">
        <v>124</v>
      </c>
      <c r="H251" s="577" t="s">
        <v>124</v>
      </c>
      <c r="I251" s="303">
        <f t="shared" si="17"/>
        <v>76000</v>
      </c>
      <c r="J251" s="277"/>
    </row>
    <row r="252" spans="1:14" s="283" customFormat="1" ht="20.100000000000001" customHeight="1">
      <c r="A252" s="278"/>
      <c r="B252" s="277" t="s">
        <v>736</v>
      </c>
      <c r="C252" s="296">
        <v>10</v>
      </c>
      <c r="D252" s="296" t="s">
        <v>128</v>
      </c>
      <c r="E252" s="576">
        <v>1360</v>
      </c>
      <c r="F252" s="576">
        <f>SUM(C252*E252)</f>
        <v>13600</v>
      </c>
      <c r="G252" s="577" t="s">
        <v>124</v>
      </c>
      <c r="H252" s="577" t="s">
        <v>124</v>
      </c>
      <c r="I252" s="303">
        <f t="shared" si="17"/>
        <v>13600</v>
      </c>
      <c r="J252" s="277"/>
      <c r="L252" s="284"/>
    </row>
    <row r="253" spans="1:14" ht="20.100000000000001" customHeight="1">
      <c r="A253" s="278"/>
      <c r="B253" s="277" t="s">
        <v>516</v>
      </c>
      <c r="C253" s="296"/>
      <c r="D253" s="296"/>
      <c r="E253" s="576"/>
      <c r="F253" s="576"/>
      <c r="G253" s="577"/>
      <c r="H253" s="577"/>
      <c r="I253" s="303"/>
      <c r="J253" s="277"/>
      <c r="M253" s="267" t="s">
        <v>9</v>
      </c>
    </row>
    <row r="254" spans="1:14" ht="20.100000000000001" customHeight="1">
      <c r="A254" s="278"/>
      <c r="B254" s="277" t="s">
        <v>517</v>
      </c>
      <c r="C254" s="296">
        <v>10</v>
      </c>
      <c r="D254" s="296" t="s">
        <v>128</v>
      </c>
      <c r="E254" s="576">
        <v>1520</v>
      </c>
      <c r="F254" s="576">
        <f t="shared" ref="F254" si="18">SUM(C254*E254)</f>
        <v>15200</v>
      </c>
      <c r="G254" s="577" t="s">
        <v>124</v>
      </c>
      <c r="H254" s="577" t="s">
        <v>124</v>
      </c>
      <c r="I254" s="303">
        <f t="shared" ref="I254" si="19">SUM(F254)</f>
        <v>15200</v>
      </c>
      <c r="J254" s="277"/>
      <c r="L254" s="424"/>
    </row>
    <row r="255" spans="1:14" ht="20.100000000000001" customHeight="1">
      <c r="A255" s="278"/>
      <c r="B255" s="277" t="s">
        <v>737</v>
      </c>
      <c r="C255" s="296">
        <v>10</v>
      </c>
      <c r="D255" s="296" t="s">
        <v>128</v>
      </c>
      <c r="E255" s="576">
        <v>1440</v>
      </c>
      <c r="F255" s="576">
        <f t="shared" si="16"/>
        <v>14400</v>
      </c>
      <c r="G255" s="577" t="s">
        <v>124</v>
      </c>
      <c r="H255" s="577" t="s">
        <v>124</v>
      </c>
      <c r="I255" s="303">
        <f t="shared" si="17"/>
        <v>14400</v>
      </c>
      <c r="J255" s="277"/>
    </row>
    <row r="256" spans="1:14" ht="20.100000000000001" customHeight="1">
      <c r="A256" s="278"/>
      <c r="B256" s="277" t="s">
        <v>738</v>
      </c>
      <c r="C256" s="296">
        <v>10</v>
      </c>
      <c r="D256" s="296" t="s">
        <v>128</v>
      </c>
      <c r="E256" s="576">
        <v>11360</v>
      </c>
      <c r="F256" s="576">
        <f t="shared" si="16"/>
        <v>113600</v>
      </c>
      <c r="G256" s="577" t="s">
        <v>124</v>
      </c>
      <c r="H256" s="577" t="s">
        <v>124</v>
      </c>
      <c r="I256" s="303">
        <f>SUM(F256)</f>
        <v>113600</v>
      </c>
      <c r="J256" s="277"/>
      <c r="K256" s="286"/>
      <c r="M256" s="267" t="s">
        <v>9</v>
      </c>
    </row>
    <row r="257" spans="1:14" ht="20.100000000000001" customHeight="1">
      <c r="A257" s="278"/>
      <c r="B257" s="277" t="s">
        <v>518</v>
      </c>
      <c r="C257" s="296">
        <v>10</v>
      </c>
      <c r="D257" s="296" t="s">
        <v>156</v>
      </c>
      <c r="E257" s="577" t="s">
        <v>124</v>
      </c>
      <c r="F257" s="577" t="s">
        <v>124</v>
      </c>
      <c r="G257" s="576">
        <v>1200</v>
      </c>
      <c r="H257" s="576">
        <f>SUM(C257*G257)</f>
        <v>12000</v>
      </c>
      <c r="I257" s="303">
        <f>SUM(H257)</f>
        <v>12000</v>
      </c>
      <c r="J257" s="277"/>
      <c r="K257" s="286"/>
      <c r="M257" s="267" t="s">
        <v>9</v>
      </c>
    </row>
    <row r="258" spans="1:14" ht="20.100000000000001" customHeight="1">
      <c r="A258" s="278"/>
      <c r="B258" s="387" t="s">
        <v>675</v>
      </c>
      <c r="C258" s="440"/>
      <c r="D258" s="383"/>
      <c r="E258" s="385"/>
      <c r="F258" s="384"/>
      <c r="G258" s="385"/>
      <c r="H258" s="385"/>
      <c r="I258" s="385"/>
      <c r="J258" s="277"/>
      <c r="K258" s="286"/>
    </row>
    <row r="259" spans="1:14" ht="20.100000000000001" customHeight="1">
      <c r="A259" s="278"/>
      <c r="B259" s="387" t="s">
        <v>674</v>
      </c>
      <c r="C259" s="440">
        <v>1</v>
      </c>
      <c r="D259" s="383" t="s">
        <v>128</v>
      </c>
      <c r="E259" s="577" t="s">
        <v>124</v>
      </c>
      <c r="F259" s="577" t="s">
        <v>124</v>
      </c>
      <c r="G259" s="576">
        <v>5000</v>
      </c>
      <c r="H259" s="576">
        <f>SUM(C259*G259)</f>
        <v>5000</v>
      </c>
      <c r="I259" s="303">
        <f>SUM(H259)</f>
        <v>5000</v>
      </c>
      <c r="J259" s="277"/>
      <c r="K259" s="286"/>
      <c r="M259" s="267" t="s">
        <v>9</v>
      </c>
    </row>
    <row r="260" spans="1:14" ht="20.100000000000001" customHeight="1">
      <c r="A260" s="460"/>
      <c r="B260" s="387"/>
      <c r="C260" s="440"/>
      <c r="D260" s="383"/>
      <c r="E260" s="385"/>
      <c r="F260" s="384"/>
      <c r="G260" s="487"/>
      <c r="H260" s="488"/>
      <c r="I260" s="386"/>
      <c r="J260" s="277"/>
      <c r="K260" s="286"/>
    </row>
    <row r="261" spans="1:14" ht="20.100000000000001" customHeight="1">
      <c r="A261" s="460"/>
      <c r="B261" s="288" t="s">
        <v>18</v>
      </c>
      <c r="C261" s="285"/>
      <c r="D261" s="274"/>
      <c r="E261" s="289"/>
      <c r="F261" s="290">
        <f>SUM(F242:F259)</f>
        <v>376000</v>
      </c>
      <c r="G261" s="291"/>
      <c r="H261" s="290">
        <f>SUM(H257)</f>
        <v>12000</v>
      </c>
      <c r="I261" s="276"/>
      <c r="J261" s="277"/>
      <c r="K261" s="286">
        <f>SUM(F261+H261)</f>
        <v>388000</v>
      </c>
    </row>
    <row r="262" spans="1:14" ht="20.100000000000001" customHeight="1">
      <c r="A262" s="460"/>
      <c r="B262" s="278" t="s">
        <v>86</v>
      </c>
      <c r="C262" s="285"/>
      <c r="D262" s="274"/>
      <c r="E262" s="289"/>
      <c r="F262" s="281"/>
      <c r="G262" s="291"/>
      <c r="H262" s="292"/>
      <c r="I262" s="423">
        <f>SUM(I242:I259)</f>
        <v>393000</v>
      </c>
      <c r="J262" s="277"/>
      <c r="K262" s="286"/>
      <c r="M262" s="267" t="s">
        <v>385</v>
      </c>
      <c r="N262" s="438">
        <f>SUM(I248:I257)</f>
        <v>380000</v>
      </c>
    </row>
    <row r="263" spans="1:14" ht="20.100000000000001" customHeight="1">
      <c r="A263" s="278"/>
      <c r="B263" s="643" t="s">
        <v>509</v>
      </c>
      <c r="C263" s="644"/>
      <c r="D263" s="645"/>
      <c r="E263" s="559"/>
      <c r="F263" s="560"/>
      <c r="G263" s="561"/>
      <c r="H263" s="561"/>
      <c r="I263" s="282"/>
      <c r="J263" s="277"/>
      <c r="K263" s="286"/>
    </row>
    <row r="264" spans="1:14" ht="20.100000000000001" customHeight="1">
      <c r="A264" s="278"/>
      <c r="B264" s="387" t="s">
        <v>683</v>
      </c>
      <c r="C264" s="440"/>
      <c r="D264" s="383"/>
      <c r="E264" s="385"/>
      <c r="F264" s="384"/>
      <c r="G264" s="472"/>
      <c r="H264" s="472"/>
      <c r="I264" s="376"/>
      <c r="J264" s="277"/>
      <c r="K264" s="286"/>
    </row>
    <row r="265" spans="1:14" ht="20.100000000000001" customHeight="1">
      <c r="A265" s="278"/>
      <c r="B265" s="277" t="s">
        <v>684</v>
      </c>
      <c r="C265" s="296">
        <v>1</v>
      </c>
      <c r="D265" s="296" t="s">
        <v>128</v>
      </c>
      <c r="E265" s="443">
        <v>15695</v>
      </c>
      <c r="F265" s="443">
        <f>SUM(E265*C265)</f>
        <v>15695</v>
      </c>
      <c r="G265" s="442" t="s">
        <v>124</v>
      </c>
      <c r="H265" s="442" t="s">
        <v>124</v>
      </c>
      <c r="I265" s="437">
        <f>SUM(F265)</f>
        <v>15695</v>
      </c>
      <c r="J265" s="277"/>
      <c r="K265" s="286"/>
    </row>
    <row r="266" spans="1:14" ht="20.100000000000001" customHeight="1">
      <c r="A266" s="278"/>
      <c r="B266" s="277" t="s">
        <v>687</v>
      </c>
      <c r="C266" s="296">
        <v>1</v>
      </c>
      <c r="D266" s="296" t="s">
        <v>128</v>
      </c>
      <c r="E266" s="443">
        <v>16340</v>
      </c>
      <c r="F266" s="443">
        <f>SUM(E266*C266)</f>
        <v>16340</v>
      </c>
      <c r="G266" s="442" t="s">
        <v>124</v>
      </c>
      <c r="H266" s="442" t="s">
        <v>124</v>
      </c>
      <c r="I266" s="437">
        <f>SUM(F266)</f>
        <v>16340</v>
      </c>
      <c r="J266" s="277"/>
      <c r="K266" s="286"/>
    </row>
    <row r="267" spans="1:14" ht="20.100000000000001" customHeight="1">
      <c r="A267" s="278"/>
      <c r="B267" s="277" t="s">
        <v>686</v>
      </c>
      <c r="C267" s="296">
        <v>1</v>
      </c>
      <c r="D267" s="296" t="s">
        <v>128</v>
      </c>
      <c r="E267" s="443">
        <v>23045</v>
      </c>
      <c r="F267" s="443">
        <f>SUM(E267*C267)</f>
        <v>23045</v>
      </c>
      <c r="G267" s="442" t="s">
        <v>124</v>
      </c>
      <c r="H267" s="442" t="s">
        <v>124</v>
      </c>
      <c r="I267" s="437">
        <f>SUM(F267)</f>
        <v>23045</v>
      </c>
      <c r="J267" s="277"/>
      <c r="K267" s="286"/>
    </row>
    <row r="268" spans="1:14" ht="20.100000000000001" customHeight="1">
      <c r="A268" s="278"/>
      <c r="B268" s="277" t="s">
        <v>688</v>
      </c>
      <c r="C268" s="296">
        <v>1</v>
      </c>
      <c r="D268" s="296" t="s">
        <v>128</v>
      </c>
      <c r="E268" s="443">
        <v>4220</v>
      </c>
      <c r="F268" s="443">
        <f>SUM(E268*C268)</f>
        <v>4220</v>
      </c>
      <c r="G268" s="442" t="s">
        <v>124</v>
      </c>
      <c r="H268" s="442" t="s">
        <v>124</v>
      </c>
      <c r="I268" s="437">
        <f>SUM(F268)</f>
        <v>4220</v>
      </c>
      <c r="J268" s="277"/>
      <c r="K268" s="286"/>
    </row>
    <row r="269" spans="1:14" ht="20.100000000000001" customHeight="1">
      <c r="A269" s="278"/>
      <c r="B269" s="279" t="s">
        <v>689</v>
      </c>
      <c r="C269" s="296">
        <v>1</v>
      </c>
      <c r="D269" s="296" t="s">
        <v>128</v>
      </c>
      <c r="E269" s="443">
        <v>21365</v>
      </c>
      <c r="F269" s="443">
        <f>SUM(E269*C269)</f>
        <v>21365</v>
      </c>
      <c r="G269" s="442" t="s">
        <v>124</v>
      </c>
      <c r="H269" s="442" t="s">
        <v>124</v>
      </c>
      <c r="I269" s="437">
        <f>SUM(F269)</f>
        <v>21365</v>
      </c>
      <c r="J269" s="277"/>
      <c r="K269" s="286"/>
    </row>
    <row r="270" spans="1:14" ht="20.100000000000001" customHeight="1">
      <c r="A270" s="278"/>
      <c r="B270" s="391" t="s">
        <v>673</v>
      </c>
      <c r="C270" s="440"/>
      <c r="D270" s="383"/>
      <c r="E270" s="385"/>
      <c r="F270" s="385"/>
      <c r="G270" s="384"/>
      <c r="H270" s="475"/>
      <c r="I270" s="385"/>
      <c r="J270" s="277"/>
      <c r="K270" s="286"/>
      <c r="L270" s="424"/>
    </row>
    <row r="271" spans="1:14" s="283" customFormat="1" ht="20.100000000000001" customHeight="1">
      <c r="A271" s="278"/>
      <c r="B271" s="391" t="s">
        <v>522</v>
      </c>
      <c r="C271" s="392"/>
      <c r="D271" s="392"/>
      <c r="E271" s="385"/>
      <c r="F271" s="384"/>
      <c r="G271" s="476"/>
      <c r="H271" s="477"/>
      <c r="I271" s="376"/>
      <c r="J271" s="277"/>
      <c r="K271" s="286">
        <f>SUM(F261+H261)</f>
        <v>388000</v>
      </c>
      <c r="L271" s="284"/>
    </row>
    <row r="272" spans="1:14" s="283" customFormat="1" ht="20.100000000000001" customHeight="1">
      <c r="A272" s="279"/>
      <c r="B272" s="471" t="s">
        <v>523</v>
      </c>
      <c r="C272" s="440">
        <v>1</v>
      </c>
      <c r="D272" s="383" t="s">
        <v>128</v>
      </c>
      <c r="E272" s="577" t="s">
        <v>124</v>
      </c>
      <c r="F272" s="577" t="s">
        <v>124</v>
      </c>
      <c r="G272" s="576">
        <v>5000</v>
      </c>
      <c r="H272" s="576">
        <f>SUM(C272*G272)</f>
        <v>5000</v>
      </c>
      <c r="I272" s="303">
        <f>SUM(H272)</f>
        <v>5000</v>
      </c>
      <c r="J272" s="277"/>
      <c r="L272" s="284"/>
      <c r="M272" s="283" t="s">
        <v>9</v>
      </c>
    </row>
    <row r="273" spans="1:14" s="283" customFormat="1" ht="20.100000000000001" customHeight="1">
      <c r="A273" s="279"/>
      <c r="B273" s="387" t="s">
        <v>677</v>
      </c>
      <c r="C273" s="440"/>
      <c r="D273" s="383"/>
      <c r="E273" s="385"/>
      <c r="F273" s="384"/>
      <c r="G273" s="472"/>
      <c r="H273" s="472"/>
      <c r="I273" s="376"/>
      <c r="J273" s="277"/>
      <c r="L273" s="284"/>
    </row>
    <row r="274" spans="1:14" s="283" customFormat="1" ht="20.100000000000001" customHeight="1">
      <c r="A274" s="278"/>
      <c r="B274" s="277" t="s">
        <v>678</v>
      </c>
      <c r="C274" s="296">
        <v>1</v>
      </c>
      <c r="D274" s="296" t="s">
        <v>128</v>
      </c>
      <c r="E274" s="443">
        <v>6980</v>
      </c>
      <c r="F274" s="443">
        <f>SUM(E274*C274)</f>
        <v>6980</v>
      </c>
      <c r="G274" s="442" t="s">
        <v>124</v>
      </c>
      <c r="H274" s="442" t="s">
        <v>124</v>
      </c>
      <c r="I274" s="437">
        <f>SUM(F274)</f>
        <v>6980</v>
      </c>
      <c r="J274" s="277"/>
      <c r="L274" s="284"/>
      <c r="M274" s="283" t="s">
        <v>9</v>
      </c>
    </row>
    <row r="275" spans="1:14" ht="20.100000000000001" customHeight="1">
      <c r="A275" s="278"/>
      <c r="B275" s="277" t="s">
        <v>679</v>
      </c>
      <c r="C275" s="296">
        <v>1</v>
      </c>
      <c r="D275" s="296" t="s">
        <v>128</v>
      </c>
      <c r="E275" s="443">
        <v>7850</v>
      </c>
      <c r="F275" s="443">
        <f>SUM(E275*C275)</f>
        <v>7850</v>
      </c>
      <c r="G275" s="442" t="s">
        <v>124</v>
      </c>
      <c r="H275" s="442" t="s">
        <v>124</v>
      </c>
      <c r="I275" s="437">
        <f>SUM(F275)</f>
        <v>7850</v>
      </c>
      <c r="J275" s="277"/>
      <c r="N275" s="438"/>
    </row>
    <row r="276" spans="1:14" ht="20.100000000000001" customHeight="1">
      <c r="A276" s="278"/>
      <c r="B276" s="277" t="s">
        <v>680</v>
      </c>
      <c r="C276" s="296">
        <v>1</v>
      </c>
      <c r="D276" s="296" t="s">
        <v>128</v>
      </c>
      <c r="E276" s="443">
        <v>9140</v>
      </c>
      <c r="F276" s="443">
        <f>SUM(E276*C276)</f>
        <v>9140</v>
      </c>
      <c r="G276" s="442" t="s">
        <v>124</v>
      </c>
      <c r="H276" s="442" t="s">
        <v>124</v>
      </c>
      <c r="I276" s="437">
        <f>SUM(F276)</f>
        <v>9140</v>
      </c>
      <c r="J276" s="277"/>
      <c r="L276" s="196" t="s">
        <v>9</v>
      </c>
      <c r="N276" s="438" t="s">
        <v>9</v>
      </c>
    </row>
    <row r="277" spans="1:14" ht="20.100000000000001" customHeight="1">
      <c r="A277" s="278"/>
      <c r="B277" s="277" t="s">
        <v>681</v>
      </c>
      <c r="C277" s="296">
        <v>1</v>
      </c>
      <c r="D277" s="296" t="s">
        <v>128</v>
      </c>
      <c r="E277" s="443">
        <v>1880</v>
      </c>
      <c r="F277" s="443">
        <f>SUM(E277*C277)</f>
        <v>1880</v>
      </c>
      <c r="G277" s="442" t="s">
        <v>124</v>
      </c>
      <c r="H277" s="442" t="s">
        <v>124</v>
      </c>
      <c r="I277" s="437">
        <f>SUM(F277)</f>
        <v>1880</v>
      </c>
      <c r="J277" s="277"/>
    </row>
    <row r="278" spans="1:14" ht="20.100000000000001" customHeight="1">
      <c r="A278" s="278"/>
      <c r="B278" s="279" t="s">
        <v>682</v>
      </c>
      <c r="C278" s="296">
        <v>1</v>
      </c>
      <c r="D278" s="296" t="s">
        <v>128</v>
      </c>
      <c r="E278" s="443">
        <v>8300</v>
      </c>
      <c r="F278" s="443">
        <f>SUM(E278*C278)</f>
        <v>8300</v>
      </c>
      <c r="G278" s="442" t="s">
        <v>124</v>
      </c>
      <c r="H278" s="442" t="s">
        <v>124</v>
      </c>
      <c r="I278" s="437">
        <f>SUM(F278)</f>
        <v>8300</v>
      </c>
      <c r="J278" s="277"/>
    </row>
    <row r="279" spans="1:14" ht="20.100000000000001" customHeight="1">
      <c r="A279" s="277"/>
      <c r="B279" s="387" t="s">
        <v>524</v>
      </c>
      <c r="C279" s="440"/>
      <c r="D279" s="383"/>
      <c r="E279" s="385"/>
      <c r="F279" s="384"/>
      <c r="G279" s="472"/>
      <c r="H279" s="472"/>
      <c r="I279" s="376"/>
      <c r="J279" s="297"/>
      <c r="K279" s="286"/>
      <c r="L279" s="196" t="s">
        <v>9</v>
      </c>
      <c r="M279" s="267" t="s">
        <v>9</v>
      </c>
      <c r="N279" s="267" t="s">
        <v>9</v>
      </c>
    </row>
    <row r="280" spans="1:14" ht="20.100000000000001" customHeight="1">
      <c r="A280" s="296"/>
      <c r="B280" s="387" t="s">
        <v>525</v>
      </c>
      <c r="C280" s="440">
        <v>18</v>
      </c>
      <c r="D280" s="383" t="s">
        <v>300</v>
      </c>
      <c r="E280" s="385">
        <v>2000</v>
      </c>
      <c r="F280" s="384">
        <f>C280*E280</f>
        <v>36000</v>
      </c>
      <c r="G280" s="385">
        <v>200</v>
      </c>
      <c r="H280" s="385">
        <f>SUM(C280*G280)</f>
        <v>3600</v>
      </c>
      <c r="I280" s="385">
        <f>SUM(F280+H280)</f>
        <v>39600</v>
      </c>
      <c r="J280" s="277"/>
      <c r="K280" s="286"/>
      <c r="M280" s="267" t="s">
        <v>9</v>
      </c>
    </row>
    <row r="281" spans="1:14" ht="20.100000000000001" customHeight="1">
      <c r="A281" s="300"/>
      <c r="B281" s="279"/>
      <c r="C281" s="299"/>
      <c r="D281" s="274"/>
      <c r="E281" s="281"/>
      <c r="F281" s="281"/>
      <c r="G281" s="301"/>
      <c r="H281" s="281"/>
      <c r="I281" s="282"/>
      <c r="J281" s="277"/>
      <c r="K281" s="286"/>
      <c r="L281" s="424"/>
    </row>
    <row r="282" spans="1:14" ht="20.100000000000001" customHeight="1">
      <c r="A282" s="460"/>
      <c r="B282" s="288" t="s">
        <v>18</v>
      </c>
      <c r="C282" s="285"/>
      <c r="D282" s="274"/>
      <c r="E282" s="289"/>
      <c r="F282" s="290">
        <f>SUM(F263:F281)</f>
        <v>150815</v>
      </c>
      <c r="G282" s="291"/>
      <c r="H282" s="290">
        <f>SUM(H263:H280)</f>
        <v>8600</v>
      </c>
      <c r="I282" s="276"/>
      <c r="J282" s="277"/>
      <c r="K282" s="286">
        <f>SUM(F282+H282)</f>
        <v>159415</v>
      </c>
    </row>
    <row r="283" spans="1:14" ht="20.100000000000001" customHeight="1">
      <c r="A283" s="460"/>
      <c r="B283" s="278" t="s">
        <v>86</v>
      </c>
      <c r="C283" s="285"/>
      <c r="D283" s="274"/>
      <c r="E283" s="289"/>
      <c r="F283" s="281"/>
      <c r="G283" s="291"/>
      <c r="H283" s="292"/>
      <c r="I283" s="423">
        <f>SUM(I263:I281)</f>
        <v>159415</v>
      </c>
      <c r="J283" s="277"/>
      <c r="K283" s="286"/>
      <c r="M283" s="438">
        <f>SUM(I277:I278)</f>
        <v>10180</v>
      </c>
      <c r="N283" s="438"/>
    </row>
    <row r="286" spans="1:14">
      <c r="I286" s="286">
        <f>SUM(I29+I51+I72+I93+I114+I135+I177+I199+I220+I241+I262+I283)</f>
        <v>4108062</v>
      </c>
    </row>
    <row r="289" spans="6:6">
      <c r="F289" s="267" t="s">
        <v>9</v>
      </c>
    </row>
    <row r="291" spans="6:6">
      <c r="F291" s="267" t="s">
        <v>9</v>
      </c>
    </row>
  </sheetData>
  <mergeCells count="23">
    <mergeCell ref="B221:D221"/>
    <mergeCell ref="B242:D242"/>
    <mergeCell ref="B263:D263"/>
    <mergeCell ref="B94:D94"/>
    <mergeCell ref="B115:D115"/>
    <mergeCell ref="B157:D157"/>
    <mergeCell ref="B178:D178"/>
    <mergeCell ref="B200:D200"/>
    <mergeCell ref="B136:D136"/>
    <mergeCell ref="B8:D8"/>
    <mergeCell ref="B30:D30"/>
    <mergeCell ref="G34:H34"/>
    <mergeCell ref="B52:D52"/>
    <mergeCell ref="B73:D73"/>
    <mergeCell ref="A1:J1"/>
    <mergeCell ref="B3:E3"/>
    <mergeCell ref="A6:A7"/>
    <mergeCell ref="B6:B7"/>
    <mergeCell ref="C6:C7"/>
    <mergeCell ref="D6:D7"/>
    <mergeCell ref="E6:F6"/>
    <mergeCell ref="G6:H6"/>
    <mergeCell ref="J6:J7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O51"/>
  <sheetViews>
    <sheetView view="pageBreakPreview" topLeftCell="A37" zoomScale="90" zoomScaleSheetLayoutView="90" workbookViewId="0">
      <selection sqref="A1:J47"/>
    </sheetView>
  </sheetViews>
  <sheetFormatPr defaultRowHeight="24"/>
  <cols>
    <col min="1" max="1" width="10.28515625" style="413" customWidth="1"/>
    <col min="2" max="2" width="56.140625" style="304" customWidth="1"/>
    <col min="3" max="3" width="8.5703125" style="304" customWidth="1"/>
    <col min="4" max="4" width="7" style="304" customWidth="1"/>
    <col min="5" max="8" width="11.7109375" style="304" customWidth="1"/>
    <col min="9" max="9" width="13.140625" style="304" customWidth="1"/>
    <col min="10" max="10" width="8.85546875" style="304" customWidth="1"/>
    <col min="11" max="11" width="12" style="304" customWidth="1"/>
    <col min="12" max="12" width="13.85546875" style="305" bestFit="1" customWidth="1"/>
    <col min="13" max="14" width="13.85546875" style="304" bestFit="1" customWidth="1"/>
    <col min="15" max="16384" width="9.140625" style="304"/>
  </cols>
  <sheetData>
    <row r="1" spans="1:12" s="196" customFormat="1" ht="21.75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2" s="263" customFormat="1" ht="21.75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2" s="196" customFormat="1" ht="21.75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706</v>
      </c>
      <c r="H3" s="261"/>
      <c r="I3" s="261"/>
      <c r="J3" s="203"/>
    </row>
    <row r="4" spans="1:12" s="263" customFormat="1" ht="21.75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2" s="263" customFormat="1" ht="22.5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2" s="267" customFormat="1" ht="22.5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  <c r="L6" s="196"/>
    </row>
    <row r="7" spans="1:12" s="267" customFormat="1" ht="22.5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  <c r="L7" s="196"/>
    </row>
    <row r="8" spans="1:12" s="267" customFormat="1" ht="20.100000000000001" customHeight="1" thickTop="1">
      <c r="A8" s="411"/>
      <c r="B8" s="578" t="s">
        <v>527</v>
      </c>
      <c r="C8" s="447"/>
      <c r="D8" s="415"/>
      <c r="E8" s="448"/>
      <c r="F8" s="448"/>
      <c r="G8" s="448"/>
      <c r="H8" s="449"/>
      <c r="I8" s="450"/>
      <c r="J8" s="272"/>
      <c r="L8" s="196"/>
    </row>
    <row r="9" spans="1:12" s="283" customFormat="1" ht="20.100000000000001" customHeight="1">
      <c r="A9" s="278"/>
      <c r="B9" s="391" t="s">
        <v>528</v>
      </c>
      <c r="C9" s="363"/>
      <c r="D9" s="335"/>
      <c r="E9" s="331"/>
      <c r="F9" s="331"/>
      <c r="G9" s="329"/>
      <c r="H9" s="329"/>
      <c r="I9" s="365"/>
      <c r="J9" s="277"/>
      <c r="L9" s="284"/>
    </row>
    <row r="10" spans="1:12" s="283" customFormat="1" ht="20.100000000000001" customHeight="1">
      <c r="A10" s="278"/>
      <c r="B10" s="391" t="s">
        <v>529</v>
      </c>
      <c r="C10" s="579">
        <v>5198</v>
      </c>
      <c r="D10" s="579" t="s">
        <v>126</v>
      </c>
      <c r="E10" s="331" t="s">
        <v>124</v>
      </c>
      <c r="F10" s="331" t="s">
        <v>124</v>
      </c>
      <c r="G10" s="329">
        <v>60</v>
      </c>
      <c r="H10" s="329">
        <f>SUM(C10*G10)</f>
        <v>311880</v>
      </c>
      <c r="I10" s="365">
        <f>SUM(H10)</f>
        <v>311880</v>
      </c>
      <c r="J10" s="277"/>
      <c r="L10" s="284"/>
    </row>
    <row r="11" spans="1:12" s="283" customFormat="1" ht="20.100000000000001" customHeight="1">
      <c r="A11" s="278"/>
      <c r="B11" s="333" t="s">
        <v>530</v>
      </c>
      <c r="C11" s="467">
        <v>383</v>
      </c>
      <c r="D11" s="467" t="s">
        <v>130</v>
      </c>
      <c r="E11" s="330">
        <v>250</v>
      </c>
      <c r="F11" s="329">
        <f>SUM(C11*E11)</f>
        <v>95750</v>
      </c>
      <c r="G11" s="366" t="s">
        <v>198</v>
      </c>
      <c r="H11" s="499" t="s">
        <v>173</v>
      </c>
      <c r="I11" s="365">
        <f>SUM(F11)</f>
        <v>95750</v>
      </c>
      <c r="J11" s="277"/>
      <c r="L11" s="284"/>
    </row>
    <row r="12" spans="1:12" s="283" customFormat="1" ht="20.100000000000001" customHeight="1">
      <c r="A12" s="278"/>
      <c r="B12" s="333" t="s">
        <v>531</v>
      </c>
      <c r="C12" s="467">
        <v>1105</v>
      </c>
      <c r="D12" s="467" t="s">
        <v>126</v>
      </c>
      <c r="E12" s="330">
        <v>60</v>
      </c>
      <c r="F12" s="329">
        <f>SUM(C12*E12)</f>
        <v>66300</v>
      </c>
      <c r="G12" s="366" t="s">
        <v>198</v>
      </c>
      <c r="H12" s="499" t="s">
        <v>173</v>
      </c>
      <c r="I12" s="365">
        <f>SUM(F12)</f>
        <v>66300</v>
      </c>
      <c r="J12" s="277"/>
      <c r="L12" s="284"/>
    </row>
    <row r="13" spans="1:12" s="283" customFormat="1" ht="20.100000000000001" customHeight="1">
      <c r="A13" s="278"/>
      <c r="B13" s="333" t="s">
        <v>532</v>
      </c>
      <c r="C13" s="467"/>
      <c r="D13" s="467"/>
      <c r="E13" s="330"/>
      <c r="F13" s="329"/>
      <c r="G13" s="329"/>
      <c r="H13" s="329"/>
      <c r="I13" s="337"/>
      <c r="J13" s="277"/>
      <c r="L13" s="284" t="s">
        <v>9</v>
      </c>
    </row>
    <row r="14" spans="1:12" s="283" customFormat="1" ht="20.100000000000001" customHeight="1">
      <c r="A14" s="278"/>
      <c r="B14" s="333" t="s">
        <v>574</v>
      </c>
      <c r="C14" s="467">
        <v>376</v>
      </c>
      <c r="D14" s="467" t="s">
        <v>126</v>
      </c>
      <c r="E14" s="330">
        <v>450</v>
      </c>
      <c r="F14" s="329">
        <f>SUM(C14*E14)</f>
        <v>169200</v>
      </c>
      <c r="G14" s="366" t="s">
        <v>198</v>
      </c>
      <c r="H14" s="499" t="s">
        <v>173</v>
      </c>
      <c r="I14" s="365">
        <f>SUM(F14)</f>
        <v>169200</v>
      </c>
      <c r="J14" s="277"/>
      <c r="L14" s="284"/>
    </row>
    <row r="15" spans="1:12" s="283" customFormat="1" ht="20.100000000000001" customHeight="1">
      <c r="A15" s="278"/>
      <c r="B15" s="333" t="s">
        <v>575</v>
      </c>
      <c r="C15" s="467">
        <v>39</v>
      </c>
      <c r="D15" s="467" t="s">
        <v>128</v>
      </c>
      <c r="E15" s="330">
        <v>150</v>
      </c>
      <c r="F15" s="329">
        <f>SUM(C15*E15)</f>
        <v>5850</v>
      </c>
      <c r="G15" s="366" t="s">
        <v>198</v>
      </c>
      <c r="H15" s="499" t="s">
        <v>173</v>
      </c>
      <c r="I15" s="365">
        <f>SUM(F15)</f>
        <v>5850</v>
      </c>
      <c r="J15" s="277"/>
      <c r="L15" s="284"/>
    </row>
    <row r="16" spans="1:12" s="283" customFormat="1" ht="20.100000000000001" customHeight="1">
      <c r="A16" s="278"/>
      <c r="B16" s="279" t="s">
        <v>576</v>
      </c>
      <c r="C16" s="299">
        <v>222</v>
      </c>
      <c r="D16" s="274" t="s">
        <v>130</v>
      </c>
      <c r="E16" s="330">
        <v>35</v>
      </c>
      <c r="F16" s="329">
        <f>SUM(C16*E16)</f>
        <v>7770</v>
      </c>
      <c r="G16" s="366" t="s">
        <v>198</v>
      </c>
      <c r="H16" s="499" t="s">
        <v>173</v>
      </c>
      <c r="I16" s="365">
        <f>SUM(F16)</f>
        <v>7770</v>
      </c>
      <c r="J16" s="277"/>
      <c r="L16" s="284"/>
    </row>
    <row r="17" spans="1:15" s="283" customFormat="1" ht="20.100000000000001" customHeight="1">
      <c r="A17" s="278"/>
      <c r="B17" s="279"/>
      <c r="C17" s="299"/>
      <c r="D17" s="274"/>
      <c r="E17" s="289"/>
      <c r="F17" s="281"/>
      <c r="G17" s="281"/>
      <c r="H17" s="281"/>
      <c r="I17" s="276"/>
      <c r="J17" s="277"/>
      <c r="L17" s="284"/>
    </row>
    <row r="18" spans="1:15" s="283" customFormat="1" ht="20.100000000000001" customHeight="1">
      <c r="A18" s="278"/>
      <c r="B18" s="279"/>
      <c r="C18" s="299"/>
      <c r="D18" s="274"/>
      <c r="E18" s="289" t="s">
        <v>9</v>
      </c>
      <c r="F18" s="281"/>
      <c r="G18" s="281"/>
      <c r="H18" s="281"/>
      <c r="I18" s="276"/>
      <c r="J18" s="277"/>
      <c r="L18" s="284" t="s">
        <v>9</v>
      </c>
      <c r="M18" s="283" t="s">
        <v>9</v>
      </c>
    </row>
    <row r="19" spans="1:15" s="283" customFormat="1" ht="20.100000000000001" customHeight="1">
      <c r="A19" s="278"/>
      <c r="B19" s="279"/>
      <c r="C19" s="299"/>
      <c r="D19" s="274"/>
      <c r="E19" s="289"/>
      <c r="F19" s="281"/>
      <c r="G19" s="281"/>
      <c r="H19" s="281"/>
      <c r="I19" s="276"/>
      <c r="J19" s="277"/>
      <c r="L19" s="284"/>
    </row>
    <row r="20" spans="1:15" s="283" customFormat="1" ht="20.100000000000001" customHeight="1">
      <c r="A20" s="278"/>
      <c r="B20" s="279"/>
      <c r="C20" s="299"/>
      <c r="D20" s="274"/>
      <c r="E20" s="289"/>
      <c r="F20" s="281"/>
      <c r="G20" s="281"/>
      <c r="H20" s="281"/>
      <c r="I20" s="276"/>
      <c r="J20" s="277"/>
      <c r="L20" s="284" t="s">
        <v>9</v>
      </c>
    </row>
    <row r="21" spans="1:15" s="283" customFormat="1" ht="20.100000000000001" customHeight="1">
      <c r="A21" s="278"/>
      <c r="B21" s="279"/>
      <c r="C21" s="299"/>
      <c r="D21" s="274"/>
      <c r="E21" s="289"/>
      <c r="F21" s="281"/>
      <c r="G21" s="281"/>
      <c r="H21" s="281"/>
      <c r="I21" s="276"/>
      <c r="J21" s="277"/>
      <c r="L21" s="284" t="s">
        <v>9</v>
      </c>
      <c r="O21" s="283" t="s">
        <v>9</v>
      </c>
    </row>
    <row r="22" spans="1:15" s="283" customFormat="1" ht="20.100000000000001" customHeight="1">
      <c r="A22" s="278"/>
      <c r="B22" s="279"/>
      <c r="C22" s="299"/>
      <c r="D22" s="274"/>
      <c r="E22" s="289"/>
      <c r="F22" s="281"/>
      <c r="G22" s="281"/>
      <c r="H22" s="281"/>
      <c r="I22" s="276"/>
      <c r="J22" s="277"/>
      <c r="L22" s="284"/>
    </row>
    <row r="23" spans="1:15" s="283" customFormat="1" ht="20.100000000000001" customHeight="1">
      <c r="A23" s="278"/>
      <c r="B23" s="279"/>
      <c r="C23" s="299"/>
      <c r="D23" s="274"/>
      <c r="E23" s="289"/>
      <c r="F23" s="281"/>
      <c r="G23" s="281"/>
      <c r="H23" s="281"/>
      <c r="I23" s="276"/>
      <c r="J23" s="277"/>
      <c r="L23" s="284"/>
    </row>
    <row r="24" spans="1:15" s="283" customFormat="1" ht="20.100000000000001" customHeight="1">
      <c r="A24" s="278"/>
      <c r="B24" s="279"/>
      <c r="C24" s="299"/>
      <c r="D24" s="274"/>
      <c r="E24" s="289"/>
      <c r="F24" s="281"/>
      <c r="G24" s="281"/>
      <c r="H24" s="281"/>
      <c r="I24" s="276"/>
      <c r="J24" s="277"/>
      <c r="L24" s="284"/>
    </row>
    <row r="25" spans="1:15" s="283" customFormat="1" ht="20.100000000000001" customHeight="1">
      <c r="A25" s="278"/>
      <c r="B25" s="279"/>
      <c r="C25" s="299"/>
      <c r="D25" s="274"/>
      <c r="E25" s="289"/>
      <c r="F25" s="281"/>
      <c r="G25" s="281"/>
      <c r="H25" s="281"/>
      <c r="I25" s="276"/>
      <c r="J25" s="277"/>
      <c r="L25" s="284"/>
    </row>
    <row r="26" spans="1:15" s="267" customFormat="1" ht="20.100000000000001" customHeight="1">
      <c r="A26" s="460"/>
      <c r="B26" s="288" t="s">
        <v>18</v>
      </c>
      <c r="C26" s="285"/>
      <c r="D26" s="274"/>
      <c r="E26" s="289"/>
      <c r="F26" s="290">
        <f>SUM(F9:F25)</f>
        <v>344870</v>
      </c>
      <c r="G26" s="291"/>
      <c r="H26" s="290">
        <f>SUM(H10:H25)</f>
        <v>311880</v>
      </c>
      <c r="I26" s="276"/>
      <c r="J26" s="277"/>
      <c r="K26" s="286">
        <f>+H26+F26</f>
        <v>656750</v>
      </c>
      <c r="L26" s="196"/>
    </row>
    <row r="27" spans="1:15" s="267" customFormat="1" ht="20.100000000000001" customHeight="1">
      <c r="A27" s="460"/>
      <c r="B27" s="278" t="s">
        <v>86</v>
      </c>
      <c r="C27" s="285"/>
      <c r="D27" s="274"/>
      <c r="E27" s="289"/>
      <c r="F27" s="281"/>
      <c r="G27" s="291"/>
      <c r="H27" s="292"/>
      <c r="I27" s="423">
        <f>SUM(I9:I25)</f>
        <v>656750</v>
      </c>
      <c r="J27" s="277"/>
      <c r="K27" s="286"/>
      <c r="L27" s="196"/>
    </row>
    <row r="28" spans="1:15" ht="20.100000000000001" customHeight="1">
      <c r="A28" s="411"/>
      <c r="B28" s="578" t="s">
        <v>595</v>
      </c>
      <c r="C28" s="447"/>
      <c r="D28" s="415"/>
      <c r="E28" s="448"/>
      <c r="F28" s="448"/>
      <c r="G28" s="448"/>
      <c r="H28" s="449"/>
      <c r="I28" s="450"/>
      <c r="J28" s="272"/>
    </row>
    <row r="29" spans="1:15" ht="20.100000000000001" customHeight="1">
      <c r="A29" s="278"/>
      <c r="B29" s="333" t="s">
        <v>533</v>
      </c>
      <c r="C29" s="363">
        <v>1246</v>
      </c>
      <c r="D29" s="335" t="s">
        <v>126</v>
      </c>
      <c r="E29" s="331" t="s">
        <v>124</v>
      </c>
      <c r="F29" s="331" t="s">
        <v>124</v>
      </c>
      <c r="G29" s="580">
        <v>20</v>
      </c>
      <c r="H29" s="329">
        <f>SUM(G29*C29)</f>
        <v>24920</v>
      </c>
      <c r="I29" s="297">
        <f>SUM(H29)</f>
        <v>24920</v>
      </c>
      <c r="J29" s="277"/>
    </row>
    <row r="30" spans="1:15" ht="20.100000000000001" customHeight="1">
      <c r="A30" s="278"/>
      <c r="B30" s="333" t="s">
        <v>592</v>
      </c>
      <c r="C30" s="363">
        <v>424</v>
      </c>
      <c r="D30" s="335" t="s">
        <v>125</v>
      </c>
      <c r="E30" s="329">
        <v>200</v>
      </c>
      <c r="F30" s="330">
        <f t="shared" ref="F30:F35" si="0">SUM(C30*E30)</f>
        <v>84800</v>
      </c>
      <c r="G30" s="331" t="s">
        <v>124</v>
      </c>
      <c r="H30" s="331" t="s">
        <v>124</v>
      </c>
      <c r="I30" s="297">
        <f>SUM(F30)</f>
        <v>84800</v>
      </c>
      <c r="J30" s="277"/>
    </row>
    <row r="31" spans="1:15" ht="20.100000000000001" customHeight="1">
      <c r="A31" s="278"/>
      <c r="B31" s="333" t="s">
        <v>534</v>
      </c>
      <c r="C31" s="363">
        <v>1246</v>
      </c>
      <c r="D31" s="335" t="s">
        <v>126</v>
      </c>
      <c r="E31" s="331" t="s">
        <v>124</v>
      </c>
      <c r="F31" s="331" t="s">
        <v>124</v>
      </c>
      <c r="G31" s="580">
        <v>20</v>
      </c>
      <c r="H31" s="329">
        <f>SUM(G31*C31)</f>
        <v>24920</v>
      </c>
      <c r="I31" s="297">
        <f>SUM(H31)</f>
        <v>24920</v>
      </c>
      <c r="J31" s="277"/>
    </row>
    <row r="32" spans="1:15" ht="20.100000000000001" customHeight="1">
      <c r="A32" s="278"/>
      <c r="B32" s="333" t="s">
        <v>593</v>
      </c>
      <c r="C32" s="363">
        <v>300</v>
      </c>
      <c r="D32" s="335" t="s">
        <v>125</v>
      </c>
      <c r="E32" s="329">
        <v>210</v>
      </c>
      <c r="F32" s="330">
        <f t="shared" si="0"/>
        <v>63000</v>
      </c>
      <c r="G32" s="331" t="s">
        <v>124</v>
      </c>
      <c r="H32" s="331" t="s">
        <v>124</v>
      </c>
      <c r="I32" s="297">
        <f>SUM(F32)</f>
        <v>63000</v>
      </c>
      <c r="J32" s="277"/>
    </row>
    <row r="33" spans="1:14" ht="20.100000000000001" customHeight="1">
      <c r="A33" s="278"/>
      <c r="B33" s="333" t="s">
        <v>535</v>
      </c>
      <c r="C33" s="363">
        <v>1246</v>
      </c>
      <c r="D33" s="335" t="s">
        <v>126</v>
      </c>
      <c r="E33" s="331" t="s">
        <v>124</v>
      </c>
      <c r="F33" s="331" t="s">
        <v>124</v>
      </c>
      <c r="G33" s="580">
        <v>20</v>
      </c>
      <c r="H33" s="329">
        <f>SUM(G33*C33)</f>
        <v>24920</v>
      </c>
      <c r="I33" s="297">
        <f>SUM(H33)</f>
        <v>24920</v>
      </c>
      <c r="J33" s="277"/>
      <c r="M33" s="304" t="s">
        <v>9</v>
      </c>
    </row>
    <row r="34" spans="1:14" ht="20.100000000000001" customHeight="1">
      <c r="A34" s="278"/>
      <c r="B34" s="333" t="s">
        <v>536</v>
      </c>
      <c r="C34" s="363">
        <v>1246</v>
      </c>
      <c r="D34" s="335" t="s">
        <v>126</v>
      </c>
      <c r="E34" s="329">
        <v>30</v>
      </c>
      <c r="F34" s="330">
        <f t="shared" si="0"/>
        <v>37380</v>
      </c>
      <c r="G34" s="366" t="s">
        <v>172</v>
      </c>
      <c r="H34" s="367" t="s">
        <v>173</v>
      </c>
      <c r="I34" s="365">
        <f>SUM(F34)</f>
        <v>37380</v>
      </c>
      <c r="J34" s="277"/>
      <c r="M34" s="304" t="s">
        <v>9</v>
      </c>
      <c r="N34" s="304" t="s">
        <v>9</v>
      </c>
    </row>
    <row r="35" spans="1:14" ht="20.100000000000001" customHeight="1">
      <c r="A35" s="278"/>
      <c r="B35" s="333" t="s">
        <v>537</v>
      </c>
      <c r="C35" s="363">
        <v>1246</v>
      </c>
      <c r="D35" s="335" t="s">
        <v>126</v>
      </c>
      <c r="E35" s="329">
        <v>300</v>
      </c>
      <c r="F35" s="330">
        <f t="shared" si="0"/>
        <v>373800</v>
      </c>
      <c r="G35" s="366" t="s">
        <v>172</v>
      </c>
      <c r="H35" s="367" t="s">
        <v>173</v>
      </c>
      <c r="I35" s="365">
        <f>SUM(F35)</f>
        <v>373800</v>
      </c>
      <c r="J35" s="277"/>
    </row>
    <row r="36" spans="1:14" ht="20.100000000000001" customHeight="1">
      <c r="A36" s="278"/>
      <c r="B36" s="333"/>
      <c r="C36" s="363"/>
      <c r="D36" s="335"/>
      <c r="E36" s="329"/>
      <c r="F36" s="330"/>
      <c r="G36" s="375"/>
      <c r="H36" s="375"/>
      <c r="I36" s="365"/>
      <c r="J36" s="277"/>
      <c r="L36" s="305" t="s">
        <v>9</v>
      </c>
    </row>
    <row r="37" spans="1:14" ht="20.100000000000001" customHeight="1">
      <c r="A37" s="278"/>
      <c r="B37" s="287"/>
      <c r="C37" s="374"/>
      <c r="D37" s="274"/>
      <c r="E37" s="375"/>
      <c r="F37" s="375"/>
      <c r="G37" s="375"/>
      <c r="H37" s="375"/>
      <c r="I37" s="376"/>
      <c r="J37" s="277"/>
    </row>
    <row r="38" spans="1:14" ht="20.100000000000001" customHeight="1">
      <c r="A38" s="278"/>
      <c r="B38" s="279"/>
      <c r="C38" s="374"/>
      <c r="D38" s="274"/>
      <c r="E38" s="331"/>
      <c r="F38" s="331"/>
      <c r="G38" s="329"/>
      <c r="H38" s="329"/>
      <c r="I38" s="365"/>
      <c r="J38" s="277"/>
    </row>
    <row r="39" spans="1:14" ht="20.100000000000001" customHeight="1">
      <c r="A39" s="278"/>
      <c r="B39" s="279"/>
      <c r="C39" s="299"/>
      <c r="D39" s="274"/>
      <c r="E39" s="289"/>
      <c r="F39" s="281"/>
      <c r="G39" s="281"/>
      <c r="H39" s="281"/>
      <c r="I39" s="276"/>
      <c r="J39" s="277"/>
    </row>
    <row r="40" spans="1:14" ht="20.100000000000001" customHeight="1">
      <c r="A40" s="278"/>
      <c r="B40" s="279"/>
      <c r="C40" s="299"/>
      <c r="D40" s="274"/>
      <c r="E40" s="289"/>
      <c r="F40" s="281"/>
      <c r="G40" s="281"/>
      <c r="H40" s="281"/>
      <c r="I40" s="276"/>
      <c r="J40" s="277"/>
    </row>
    <row r="41" spans="1:14" ht="20.100000000000001" customHeight="1">
      <c r="A41" s="278"/>
      <c r="B41" s="279"/>
      <c r="C41" s="299"/>
      <c r="D41" s="274"/>
      <c r="E41" s="289"/>
      <c r="F41" s="281"/>
      <c r="G41" s="281"/>
      <c r="H41" s="281"/>
      <c r="I41" s="276"/>
      <c r="J41" s="277"/>
    </row>
    <row r="42" spans="1:14" ht="20.100000000000001" customHeight="1">
      <c r="A42" s="278"/>
      <c r="B42" s="279"/>
      <c r="C42" s="299"/>
      <c r="D42" s="274"/>
      <c r="E42" s="289"/>
      <c r="F42" s="281"/>
      <c r="G42" s="281"/>
      <c r="H42" s="281"/>
      <c r="I42" s="276"/>
      <c r="J42" s="277"/>
    </row>
    <row r="43" spans="1:14" ht="20.100000000000001" customHeight="1">
      <c r="A43" s="278"/>
      <c r="B43" s="279"/>
      <c r="C43" s="299"/>
      <c r="D43" s="274"/>
      <c r="E43" s="289"/>
      <c r="F43" s="281"/>
      <c r="G43" s="281"/>
      <c r="H43" s="281"/>
      <c r="I43" s="276"/>
      <c r="J43" s="277"/>
    </row>
    <row r="44" spans="1:14" ht="20.100000000000001" customHeight="1">
      <c r="A44" s="278"/>
      <c r="B44" s="279"/>
      <c r="C44" s="299"/>
      <c r="D44" s="274"/>
      <c r="E44" s="289"/>
      <c r="F44" s="281"/>
      <c r="G44" s="281"/>
      <c r="H44" s="281"/>
      <c r="I44" s="276"/>
      <c r="J44" s="277"/>
    </row>
    <row r="45" spans="1:14" ht="20.100000000000001" customHeight="1">
      <c r="A45" s="278"/>
      <c r="B45" s="279"/>
      <c r="C45" s="299"/>
      <c r="D45" s="274"/>
      <c r="E45" s="289"/>
      <c r="F45" s="281"/>
      <c r="G45" s="281"/>
      <c r="H45" s="281"/>
      <c r="I45" s="276"/>
      <c r="J45" s="277"/>
    </row>
    <row r="46" spans="1:14" ht="20.100000000000001" customHeight="1">
      <c r="A46" s="460"/>
      <c r="B46" s="288" t="s">
        <v>18</v>
      </c>
      <c r="C46" s="285"/>
      <c r="D46" s="274"/>
      <c r="E46" s="289"/>
      <c r="F46" s="290">
        <f>SUM(F29:F45)</f>
        <v>558980</v>
      </c>
      <c r="G46" s="291"/>
      <c r="H46" s="290">
        <f>SUM(H28:H42)</f>
        <v>74760</v>
      </c>
      <c r="I46" s="276"/>
      <c r="J46" s="277"/>
      <c r="K46" s="451">
        <f>SUM(F46+H46)</f>
        <v>633740</v>
      </c>
    </row>
    <row r="47" spans="1:14" ht="20.100000000000001" customHeight="1">
      <c r="A47" s="460"/>
      <c r="B47" s="278" t="s">
        <v>86</v>
      </c>
      <c r="C47" s="285"/>
      <c r="D47" s="274"/>
      <c r="E47" s="289"/>
      <c r="F47" s="281"/>
      <c r="G47" s="291"/>
      <c r="H47" s="292"/>
      <c r="I47" s="423">
        <f>SUM(I29:I46)</f>
        <v>633740</v>
      </c>
      <c r="J47" s="277"/>
    </row>
    <row r="51" spans="2:2">
      <c r="B51" s="304" t="s">
        <v>9</v>
      </c>
    </row>
  </sheetData>
  <mergeCells count="9">
    <mergeCell ref="A1:J1"/>
    <mergeCell ref="E6:F6"/>
    <mergeCell ref="G6:H6"/>
    <mergeCell ref="A6:A7"/>
    <mergeCell ref="B6:B7"/>
    <mergeCell ref="C6:C7"/>
    <mergeCell ref="D6:D7"/>
    <mergeCell ref="J6:J7"/>
    <mergeCell ref="B3:E3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N69"/>
  <sheetViews>
    <sheetView view="pageBreakPreview" topLeftCell="A56" zoomScale="90" zoomScaleSheetLayoutView="90" workbookViewId="0">
      <selection sqref="A1:J67"/>
    </sheetView>
  </sheetViews>
  <sheetFormatPr defaultRowHeight="24"/>
  <cols>
    <col min="1" max="1" width="10.28515625" style="413" customWidth="1"/>
    <col min="2" max="2" width="56.140625" style="304" customWidth="1"/>
    <col min="3" max="3" width="8.5703125" style="304" customWidth="1"/>
    <col min="4" max="4" width="7" style="304" customWidth="1"/>
    <col min="5" max="8" width="11.7109375" style="304" customWidth="1"/>
    <col min="9" max="9" width="13.140625" style="304" customWidth="1"/>
    <col min="10" max="10" width="8.85546875" style="304" customWidth="1"/>
    <col min="11" max="11" width="12" style="304" customWidth="1"/>
    <col min="12" max="12" width="13.85546875" style="305" bestFit="1" customWidth="1"/>
    <col min="13" max="14" width="13.85546875" style="304" bestFit="1" customWidth="1"/>
    <col min="15" max="16384" width="9.140625" style="304"/>
  </cols>
  <sheetData>
    <row r="1" spans="1:12" s="196" customFormat="1" ht="21.75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2" s="263" customFormat="1" ht="21.75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2" s="196" customFormat="1" ht="21.75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707</v>
      </c>
      <c r="H3" s="261"/>
      <c r="I3" s="261"/>
      <c r="J3" s="203"/>
    </row>
    <row r="4" spans="1:12" s="263" customFormat="1" ht="21.75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2" s="263" customFormat="1" ht="22.5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2" s="267" customFormat="1" ht="22.5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  <c r="L6" s="196"/>
    </row>
    <row r="7" spans="1:12" s="267" customFormat="1" ht="22.5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  <c r="L7" s="196"/>
    </row>
    <row r="8" spans="1:12" s="267" customFormat="1" ht="20.100000000000001" customHeight="1" thickTop="1">
      <c r="A8" s="411"/>
      <c r="B8" s="462" t="s">
        <v>541</v>
      </c>
      <c r="C8" s="271"/>
      <c r="D8" s="272"/>
      <c r="E8" s="273"/>
      <c r="F8" s="273"/>
      <c r="G8" s="273"/>
      <c r="H8" s="486"/>
      <c r="I8" s="266"/>
      <c r="J8" s="272"/>
      <c r="L8" s="196"/>
    </row>
    <row r="9" spans="1:12" s="283" customFormat="1" ht="20.100000000000001" customHeight="1">
      <c r="A9" s="278"/>
      <c r="B9" s="333" t="s">
        <v>542</v>
      </c>
      <c r="C9" s="581">
        <v>13</v>
      </c>
      <c r="D9" s="335" t="s">
        <v>171</v>
      </c>
      <c r="E9" s="582">
        <v>7900</v>
      </c>
      <c r="F9" s="583">
        <f t="shared" ref="F9:F14" si="0">C9*E9</f>
        <v>102700</v>
      </c>
      <c r="G9" s="584" t="s">
        <v>124</v>
      </c>
      <c r="H9" s="584" t="s">
        <v>124</v>
      </c>
      <c r="I9" s="282">
        <f t="shared" ref="I9:I21" si="1">SUM(F9)</f>
        <v>102700</v>
      </c>
      <c r="J9" s="277"/>
      <c r="L9" s="284"/>
    </row>
    <row r="10" spans="1:12" s="283" customFormat="1" ht="20.100000000000001" customHeight="1">
      <c r="A10" s="278"/>
      <c r="B10" s="333" t="s">
        <v>543</v>
      </c>
      <c r="C10" s="581">
        <v>2</v>
      </c>
      <c r="D10" s="335" t="s">
        <v>128</v>
      </c>
      <c r="E10" s="582">
        <v>2200</v>
      </c>
      <c r="F10" s="583">
        <f t="shared" si="0"/>
        <v>4400</v>
      </c>
      <c r="G10" s="584" t="s">
        <v>124</v>
      </c>
      <c r="H10" s="584" t="s">
        <v>124</v>
      </c>
      <c r="I10" s="282">
        <f t="shared" si="1"/>
        <v>4400</v>
      </c>
      <c r="J10" s="277"/>
      <c r="L10" s="284"/>
    </row>
    <row r="11" spans="1:12" s="283" customFormat="1" ht="20.100000000000001" customHeight="1">
      <c r="A11" s="278"/>
      <c r="B11" s="333" t="s">
        <v>597</v>
      </c>
      <c r="C11" s="581">
        <v>2</v>
      </c>
      <c r="D11" s="335" t="s">
        <v>128</v>
      </c>
      <c r="E11" s="582">
        <v>7225</v>
      </c>
      <c r="F11" s="583">
        <f t="shared" si="0"/>
        <v>14450</v>
      </c>
      <c r="G11" s="584" t="s">
        <v>124</v>
      </c>
      <c r="H11" s="584" t="s">
        <v>124</v>
      </c>
      <c r="I11" s="282">
        <f t="shared" si="1"/>
        <v>14450</v>
      </c>
      <c r="J11" s="277"/>
      <c r="L11" s="284"/>
    </row>
    <row r="12" spans="1:12" s="283" customFormat="1" ht="20.100000000000001" customHeight="1">
      <c r="A12" s="278"/>
      <c r="B12" s="333" t="s">
        <v>544</v>
      </c>
      <c r="C12" s="581">
        <v>4</v>
      </c>
      <c r="D12" s="335" t="s">
        <v>128</v>
      </c>
      <c r="E12" s="582">
        <v>1340</v>
      </c>
      <c r="F12" s="583">
        <f t="shared" si="0"/>
        <v>5360</v>
      </c>
      <c r="G12" s="584" t="s">
        <v>124</v>
      </c>
      <c r="H12" s="584" t="s">
        <v>124</v>
      </c>
      <c r="I12" s="282">
        <f t="shared" si="1"/>
        <v>5360</v>
      </c>
      <c r="J12" s="277"/>
      <c r="L12" s="284"/>
    </row>
    <row r="13" spans="1:12" s="283" customFormat="1" ht="20.100000000000001" customHeight="1">
      <c r="A13" s="278"/>
      <c r="B13" s="333" t="s">
        <v>598</v>
      </c>
      <c r="C13" s="581">
        <v>32</v>
      </c>
      <c r="D13" s="335" t="s">
        <v>128</v>
      </c>
      <c r="E13" s="582">
        <v>2550</v>
      </c>
      <c r="F13" s="583">
        <f t="shared" si="0"/>
        <v>81600</v>
      </c>
      <c r="G13" s="584" t="s">
        <v>124</v>
      </c>
      <c r="H13" s="584" t="s">
        <v>124</v>
      </c>
      <c r="I13" s="282">
        <f t="shared" si="1"/>
        <v>81600</v>
      </c>
      <c r="J13" s="277"/>
      <c r="L13" s="284"/>
    </row>
    <row r="14" spans="1:12" s="283" customFormat="1" ht="20.100000000000001" customHeight="1">
      <c r="A14" s="278"/>
      <c r="B14" s="333" t="s">
        <v>545</v>
      </c>
      <c r="C14" s="581">
        <v>64</v>
      </c>
      <c r="D14" s="335" t="s">
        <v>128</v>
      </c>
      <c r="E14" s="582">
        <v>100</v>
      </c>
      <c r="F14" s="583">
        <f t="shared" si="0"/>
        <v>6400</v>
      </c>
      <c r="G14" s="584" t="s">
        <v>124</v>
      </c>
      <c r="H14" s="584" t="s">
        <v>124</v>
      </c>
      <c r="I14" s="282">
        <f t="shared" si="1"/>
        <v>6400</v>
      </c>
      <c r="J14" s="277"/>
      <c r="L14" s="284"/>
    </row>
    <row r="15" spans="1:12" s="283" customFormat="1" ht="20.100000000000001" customHeight="1">
      <c r="A15" s="278"/>
      <c r="B15" s="333" t="s">
        <v>546</v>
      </c>
      <c r="C15" s="585">
        <v>6</v>
      </c>
      <c r="D15" s="335" t="s">
        <v>128</v>
      </c>
      <c r="E15" s="582">
        <v>360</v>
      </c>
      <c r="F15" s="583">
        <f>C15*E15</f>
        <v>2160</v>
      </c>
      <c r="G15" s="584" t="s">
        <v>124</v>
      </c>
      <c r="H15" s="584" t="s">
        <v>124</v>
      </c>
      <c r="I15" s="282">
        <f t="shared" si="1"/>
        <v>2160</v>
      </c>
      <c r="J15" s="277"/>
      <c r="L15" s="284"/>
    </row>
    <row r="16" spans="1:12" s="283" customFormat="1" ht="20.100000000000001" customHeight="1">
      <c r="A16" s="278"/>
      <c r="B16" s="333" t="s">
        <v>547</v>
      </c>
      <c r="C16" s="585">
        <v>6</v>
      </c>
      <c r="D16" s="335" t="s">
        <v>128</v>
      </c>
      <c r="E16" s="582">
        <v>440</v>
      </c>
      <c r="F16" s="583">
        <f>C16*E16</f>
        <v>2640</v>
      </c>
      <c r="G16" s="584" t="s">
        <v>124</v>
      </c>
      <c r="H16" s="584" t="s">
        <v>124</v>
      </c>
      <c r="I16" s="282">
        <f t="shared" si="1"/>
        <v>2640</v>
      </c>
      <c r="J16" s="277"/>
      <c r="L16" s="284"/>
    </row>
    <row r="17" spans="1:13" s="283" customFormat="1" ht="20.100000000000001" customHeight="1">
      <c r="A17" s="278"/>
      <c r="B17" s="333" t="s">
        <v>548</v>
      </c>
      <c r="C17" s="585">
        <v>3</v>
      </c>
      <c r="D17" s="335" t="s">
        <v>128</v>
      </c>
      <c r="E17" s="582">
        <v>5900</v>
      </c>
      <c r="F17" s="583">
        <f t="shared" ref="F17:F21" si="2">C17*E17</f>
        <v>17700</v>
      </c>
      <c r="G17" s="584" t="s">
        <v>124</v>
      </c>
      <c r="H17" s="584" t="s">
        <v>124</v>
      </c>
      <c r="I17" s="282">
        <f t="shared" si="1"/>
        <v>17700</v>
      </c>
      <c r="J17" s="277"/>
      <c r="L17" s="284"/>
    </row>
    <row r="18" spans="1:13" s="283" customFormat="1" ht="20.100000000000001" customHeight="1">
      <c r="A18" s="278"/>
      <c r="B18" s="333" t="s">
        <v>549</v>
      </c>
      <c r="C18" s="585">
        <v>3</v>
      </c>
      <c r="D18" s="335" t="s">
        <v>128</v>
      </c>
      <c r="E18" s="582">
        <v>250</v>
      </c>
      <c r="F18" s="583">
        <f t="shared" si="2"/>
        <v>750</v>
      </c>
      <c r="G18" s="584" t="s">
        <v>124</v>
      </c>
      <c r="H18" s="584" t="s">
        <v>124</v>
      </c>
      <c r="I18" s="282">
        <f t="shared" si="1"/>
        <v>750</v>
      </c>
      <c r="J18" s="277"/>
      <c r="L18" s="284"/>
    </row>
    <row r="19" spans="1:13" s="283" customFormat="1" ht="20.100000000000001" customHeight="1">
      <c r="A19" s="278"/>
      <c r="B19" s="333" t="s">
        <v>550</v>
      </c>
      <c r="C19" s="585">
        <v>3</v>
      </c>
      <c r="D19" s="335" t="s">
        <v>128</v>
      </c>
      <c r="E19" s="582">
        <v>4200</v>
      </c>
      <c r="F19" s="583">
        <f t="shared" si="2"/>
        <v>12600</v>
      </c>
      <c r="G19" s="584" t="s">
        <v>124</v>
      </c>
      <c r="H19" s="584" t="s">
        <v>124</v>
      </c>
      <c r="I19" s="282">
        <f t="shared" si="1"/>
        <v>12600</v>
      </c>
      <c r="J19" s="277"/>
      <c r="L19" s="284"/>
    </row>
    <row r="20" spans="1:13" s="283" customFormat="1" ht="20.100000000000001" customHeight="1">
      <c r="A20" s="278"/>
      <c r="B20" s="333" t="s">
        <v>551</v>
      </c>
      <c r="C20" s="581">
        <v>16</v>
      </c>
      <c r="D20" s="335" t="s">
        <v>128</v>
      </c>
      <c r="E20" s="582">
        <v>720</v>
      </c>
      <c r="F20" s="583">
        <f t="shared" si="2"/>
        <v>11520</v>
      </c>
      <c r="G20" s="584" t="s">
        <v>124</v>
      </c>
      <c r="H20" s="584" t="s">
        <v>124</v>
      </c>
      <c r="I20" s="282">
        <f t="shared" si="1"/>
        <v>11520</v>
      </c>
      <c r="J20" s="277"/>
      <c r="L20" s="284"/>
    </row>
    <row r="21" spans="1:13" s="283" customFormat="1" ht="20.100000000000001" customHeight="1">
      <c r="A21" s="278"/>
      <c r="B21" s="333" t="s">
        <v>552</v>
      </c>
      <c r="C21" s="581">
        <v>240</v>
      </c>
      <c r="D21" s="335" t="s">
        <v>128</v>
      </c>
      <c r="E21" s="582">
        <v>480</v>
      </c>
      <c r="F21" s="583">
        <f t="shared" si="2"/>
        <v>115200</v>
      </c>
      <c r="G21" s="584" t="s">
        <v>124</v>
      </c>
      <c r="H21" s="584" t="s">
        <v>124</v>
      </c>
      <c r="I21" s="282">
        <f t="shared" si="1"/>
        <v>115200</v>
      </c>
      <c r="J21" s="277"/>
      <c r="L21" s="284"/>
    </row>
    <row r="22" spans="1:13" s="283" customFormat="1" ht="20.100000000000001" customHeight="1">
      <c r="A22" s="278"/>
      <c r="B22" s="333" t="s">
        <v>739</v>
      </c>
      <c r="C22" s="581"/>
      <c r="D22" s="335"/>
      <c r="E22" s="582"/>
      <c r="F22" s="583"/>
      <c r="G22" s="586"/>
      <c r="H22" s="586"/>
      <c r="I22" s="282"/>
      <c r="J22" s="277"/>
      <c r="L22" s="284"/>
    </row>
    <row r="23" spans="1:13" s="283" customFormat="1" ht="20.100000000000001" customHeight="1">
      <c r="A23" s="278"/>
      <c r="B23" s="333" t="s">
        <v>553</v>
      </c>
      <c r="C23" s="587">
        <v>1</v>
      </c>
      <c r="D23" s="492" t="s">
        <v>128</v>
      </c>
      <c r="E23" s="588">
        <v>340000</v>
      </c>
      <c r="F23" s="582">
        <f>SUM(C23*E23)</f>
        <v>340000</v>
      </c>
      <c r="G23" s="584" t="s">
        <v>124</v>
      </c>
      <c r="H23" s="584" t="s">
        <v>124</v>
      </c>
      <c r="I23" s="282">
        <f>SUM(F23)</f>
        <v>340000</v>
      </c>
      <c r="J23" s="277"/>
      <c r="L23" s="284"/>
    </row>
    <row r="24" spans="1:13" s="283" customFormat="1" ht="20.100000000000001" customHeight="1">
      <c r="A24" s="278"/>
      <c r="B24" s="333" t="s">
        <v>599</v>
      </c>
      <c r="C24" s="587">
        <v>1</v>
      </c>
      <c r="D24" s="492" t="s">
        <v>128</v>
      </c>
      <c r="E24" s="589">
        <v>5600</v>
      </c>
      <c r="F24" s="582">
        <f>SUM(C24*E24)</f>
        <v>5600</v>
      </c>
      <c r="G24" s="590"/>
      <c r="H24" s="590"/>
      <c r="I24" s="282">
        <f>SUM(F24+H24)</f>
        <v>5600</v>
      </c>
      <c r="J24" s="277"/>
      <c r="L24" s="284"/>
    </row>
    <row r="25" spans="1:13" s="283" customFormat="1" ht="20.100000000000001" customHeight="1">
      <c r="A25" s="278"/>
      <c r="B25" s="333"/>
      <c r="C25" s="587"/>
      <c r="D25" s="492"/>
      <c r="E25" s="589"/>
      <c r="F25" s="582"/>
      <c r="G25" s="590"/>
      <c r="H25" s="590"/>
      <c r="I25" s="282"/>
      <c r="J25" s="277"/>
      <c r="L25" s="284"/>
    </row>
    <row r="26" spans="1:13" s="267" customFormat="1" ht="20.100000000000001" customHeight="1">
      <c r="A26" s="460"/>
      <c r="B26" s="288" t="s">
        <v>18</v>
      </c>
      <c r="C26" s="285"/>
      <c r="D26" s="274"/>
      <c r="E26" s="289"/>
      <c r="F26" s="290">
        <f>SUM(F9:F25)</f>
        <v>723080</v>
      </c>
      <c r="G26" s="291"/>
      <c r="H26" s="290"/>
      <c r="I26" s="276"/>
      <c r="J26" s="277"/>
      <c r="K26" s="286">
        <f>+H26+F26</f>
        <v>723080</v>
      </c>
      <c r="L26" s="196"/>
    </row>
    <row r="27" spans="1:13" s="267" customFormat="1" ht="20.100000000000001" customHeight="1">
      <c r="A27" s="460"/>
      <c r="B27" s="278" t="s">
        <v>86</v>
      </c>
      <c r="C27" s="285"/>
      <c r="D27" s="274"/>
      <c r="E27" s="289"/>
      <c r="F27" s="281"/>
      <c r="G27" s="291"/>
      <c r="H27" s="292"/>
      <c r="I27" s="423">
        <f>SUM(I9:I25)</f>
        <v>723080</v>
      </c>
      <c r="J27" s="277"/>
      <c r="K27" s="286"/>
      <c r="L27" s="196"/>
    </row>
    <row r="28" spans="1:13" s="267" customFormat="1" ht="20.100000000000001" customHeight="1">
      <c r="A28" s="411"/>
      <c r="B28" s="462" t="s">
        <v>554</v>
      </c>
      <c r="C28" s="271"/>
      <c r="D28" s="272"/>
      <c r="E28" s="273"/>
      <c r="F28" s="273"/>
      <c r="G28" s="273"/>
      <c r="H28" s="486"/>
      <c r="I28" s="266"/>
      <c r="J28" s="272"/>
      <c r="L28" s="196"/>
      <c r="M28" s="267" t="s">
        <v>9</v>
      </c>
    </row>
    <row r="29" spans="1:13" s="283" customFormat="1" ht="20.100000000000001" customHeight="1">
      <c r="A29" s="278"/>
      <c r="B29" s="333" t="s">
        <v>555</v>
      </c>
      <c r="C29" s="581">
        <v>1</v>
      </c>
      <c r="D29" s="335" t="s">
        <v>128</v>
      </c>
      <c r="E29" s="591">
        <v>294975</v>
      </c>
      <c r="F29" s="586">
        <f>SUM(C29*E29)</f>
        <v>294975</v>
      </c>
      <c r="G29" s="590" t="s">
        <v>124</v>
      </c>
      <c r="H29" s="590" t="s">
        <v>124</v>
      </c>
      <c r="I29" s="282">
        <f t="shared" ref="I29:I44" si="3">SUM(F29)</f>
        <v>294975</v>
      </c>
      <c r="J29" s="277"/>
      <c r="L29" s="284"/>
    </row>
    <row r="30" spans="1:13" s="283" customFormat="1" ht="20.100000000000001" customHeight="1">
      <c r="A30" s="278"/>
      <c r="B30" s="333" t="s">
        <v>556</v>
      </c>
      <c r="C30" s="581">
        <v>440</v>
      </c>
      <c r="D30" s="335" t="s">
        <v>288</v>
      </c>
      <c r="E30" s="582">
        <v>20</v>
      </c>
      <c r="F30" s="583">
        <f t="shared" ref="F30:F39" si="4">C30*E30</f>
        <v>8800</v>
      </c>
      <c r="G30" s="584" t="s">
        <v>124</v>
      </c>
      <c r="H30" s="584" t="s">
        <v>124</v>
      </c>
      <c r="I30" s="282">
        <f t="shared" si="3"/>
        <v>8800</v>
      </c>
      <c r="J30" s="277"/>
      <c r="L30" s="284"/>
    </row>
    <row r="31" spans="1:13" s="283" customFormat="1" ht="20.100000000000001" customHeight="1">
      <c r="A31" s="278"/>
      <c r="B31" s="333" t="s">
        <v>600</v>
      </c>
      <c r="C31" s="581">
        <v>20</v>
      </c>
      <c r="D31" s="335" t="s">
        <v>288</v>
      </c>
      <c r="E31" s="582">
        <v>33</v>
      </c>
      <c r="F31" s="583">
        <f t="shared" si="4"/>
        <v>660</v>
      </c>
      <c r="G31" s="584" t="s">
        <v>124</v>
      </c>
      <c r="H31" s="584" t="s">
        <v>124</v>
      </c>
      <c r="I31" s="282">
        <f t="shared" si="3"/>
        <v>660</v>
      </c>
      <c r="J31" s="277"/>
      <c r="L31" s="284"/>
    </row>
    <row r="32" spans="1:13" s="283" customFormat="1" ht="20.100000000000001" customHeight="1">
      <c r="A32" s="278"/>
      <c r="B32" s="333" t="s">
        <v>601</v>
      </c>
      <c r="C32" s="581">
        <v>57</v>
      </c>
      <c r="D32" s="335" t="s">
        <v>288</v>
      </c>
      <c r="E32" s="582">
        <v>925</v>
      </c>
      <c r="F32" s="583">
        <f t="shared" si="4"/>
        <v>52725</v>
      </c>
      <c r="G32" s="584" t="s">
        <v>124</v>
      </c>
      <c r="H32" s="584" t="s">
        <v>124</v>
      </c>
      <c r="I32" s="282">
        <f t="shared" si="3"/>
        <v>52725</v>
      </c>
      <c r="J32" s="277"/>
      <c r="L32" s="284"/>
    </row>
    <row r="33" spans="1:13" s="283" customFormat="1" ht="20.100000000000001" customHeight="1">
      <c r="A33" s="278"/>
      <c r="B33" s="333" t="s">
        <v>557</v>
      </c>
      <c r="C33" s="581">
        <v>173</v>
      </c>
      <c r="D33" s="335" t="s">
        <v>288</v>
      </c>
      <c r="E33" s="582">
        <v>1168</v>
      </c>
      <c r="F33" s="583">
        <f t="shared" si="4"/>
        <v>202064</v>
      </c>
      <c r="G33" s="584" t="s">
        <v>124</v>
      </c>
      <c r="H33" s="584" t="s">
        <v>124</v>
      </c>
      <c r="I33" s="282">
        <f t="shared" si="3"/>
        <v>202064</v>
      </c>
      <c r="J33" s="277"/>
      <c r="L33" s="284"/>
    </row>
    <row r="34" spans="1:13" s="283" customFormat="1" ht="20.100000000000001" customHeight="1">
      <c r="A34" s="278"/>
      <c r="B34" s="333" t="s">
        <v>558</v>
      </c>
      <c r="C34" s="581">
        <v>812</v>
      </c>
      <c r="D34" s="335" t="s">
        <v>288</v>
      </c>
      <c r="E34" s="582">
        <v>136</v>
      </c>
      <c r="F34" s="583">
        <f t="shared" si="4"/>
        <v>110432</v>
      </c>
      <c r="G34" s="584" t="s">
        <v>124</v>
      </c>
      <c r="H34" s="584" t="s">
        <v>124</v>
      </c>
      <c r="I34" s="282">
        <f t="shared" si="3"/>
        <v>110432</v>
      </c>
      <c r="J34" s="277"/>
      <c r="L34" s="284"/>
    </row>
    <row r="35" spans="1:13" s="283" customFormat="1" ht="20.100000000000001" customHeight="1">
      <c r="A35" s="278"/>
      <c r="B35" s="333" t="s">
        <v>559</v>
      </c>
      <c r="C35" s="581">
        <v>3</v>
      </c>
      <c r="D35" s="335" t="s">
        <v>127</v>
      </c>
      <c r="E35" s="582">
        <v>291</v>
      </c>
      <c r="F35" s="583">
        <f t="shared" si="4"/>
        <v>873</v>
      </c>
      <c r="G35" s="584" t="s">
        <v>124</v>
      </c>
      <c r="H35" s="584" t="s">
        <v>124</v>
      </c>
      <c r="I35" s="282">
        <f t="shared" si="3"/>
        <v>873</v>
      </c>
      <c r="J35" s="277"/>
      <c r="L35" s="284"/>
    </row>
    <row r="36" spans="1:13" s="283" customFormat="1" ht="20.100000000000001" customHeight="1">
      <c r="A36" s="278"/>
      <c r="B36" s="333" t="s">
        <v>602</v>
      </c>
      <c r="C36" s="581">
        <v>1</v>
      </c>
      <c r="D36" s="335" t="s">
        <v>127</v>
      </c>
      <c r="E36" s="582">
        <v>2438</v>
      </c>
      <c r="F36" s="583">
        <f t="shared" si="4"/>
        <v>2438</v>
      </c>
      <c r="G36" s="584" t="s">
        <v>124</v>
      </c>
      <c r="H36" s="584" t="s">
        <v>124</v>
      </c>
      <c r="I36" s="282">
        <f t="shared" si="3"/>
        <v>2438</v>
      </c>
      <c r="J36" s="277"/>
      <c r="L36" s="284" t="s">
        <v>9</v>
      </c>
    </row>
    <row r="37" spans="1:13" s="283" customFormat="1" ht="20.100000000000001" customHeight="1">
      <c r="A37" s="278"/>
      <c r="B37" s="333" t="s">
        <v>603</v>
      </c>
      <c r="C37" s="581">
        <v>10</v>
      </c>
      <c r="D37" s="335" t="s">
        <v>288</v>
      </c>
      <c r="E37" s="582">
        <v>34</v>
      </c>
      <c r="F37" s="583">
        <f t="shared" si="4"/>
        <v>340</v>
      </c>
      <c r="G37" s="584" t="s">
        <v>124</v>
      </c>
      <c r="H37" s="584" t="s">
        <v>124</v>
      </c>
      <c r="I37" s="282">
        <f t="shared" si="3"/>
        <v>340</v>
      </c>
      <c r="J37" s="277"/>
      <c r="L37" s="284"/>
    </row>
    <row r="38" spans="1:13" s="283" customFormat="1" ht="20.100000000000001" customHeight="1">
      <c r="A38" s="278"/>
      <c r="B38" s="333" t="s">
        <v>560</v>
      </c>
      <c r="C38" s="581">
        <v>60</v>
      </c>
      <c r="D38" s="335" t="s">
        <v>128</v>
      </c>
      <c r="E38" s="582">
        <v>166</v>
      </c>
      <c r="F38" s="583">
        <f t="shared" si="4"/>
        <v>9960</v>
      </c>
      <c r="G38" s="584" t="s">
        <v>124</v>
      </c>
      <c r="H38" s="584" t="s">
        <v>124</v>
      </c>
      <c r="I38" s="282">
        <f t="shared" si="3"/>
        <v>9960</v>
      </c>
      <c r="J38" s="277"/>
      <c r="L38" s="284"/>
    </row>
    <row r="39" spans="1:13" s="283" customFormat="1" ht="20.100000000000001" customHeight="1">
      <c r="A39" s="278"/>
      <c r="B39" s="333" t="s">
        <v>561</v>
      </c>
      <c r="C39" s="581">
        <v>255</v>
      </c>
      <c r="D39" s="335" t="s">
        <v>288</v>
      </c>
      <c r="E39" s="582">
        <v>22</v>
      </c>
      <c r="F39" s="583">
        <f t="shared" si="4"/>
        <v>5610</v>
      </c>
      <c r="G39" s="584" t="s">
        <v>124</v>
      </c>
      <c r="H39" s="584" t="s">
        <v>124</v>
      </c>
      <c r="I39" s="282">
        <f t="shared" si="3"/>
        <v>5610</v>
      </c>
      <c r="J39" s="277"/>
      <c r="L39" s="284"/>
    </row>
    <row r="40" spans="1:13" s="283" customFormat="1" ht="20.100000000000001" customHeight="1">
      <c r="A40" s="278"/>
      <c r="B40" s="279" t="s">
        <v>562</v>
      </c>
      <c r="C40" s="592">
        <v>8</v>
      </c>
      <c r="D40" s="383" t="s">
        <v>128</v>
      </c>
      <c r="E40" s="591">
        <v>1112</v>
      </c>
      <c r="F40" s="588">
        <f>SUM(C40*E40)</f>
        <v>8896</v>
      </c>
      <c r="G40" s="593" t="s">
        <v>124</v>
      </c>
      <c r="H40" s="594" t="s">
        <v>124</v>
      </c>
      <c r="I40" s="282">
        <f t="shared" si="3"/>
        <v>8896</v>
      </c>
      <c r="J40" s="277"/>
      <c r="L40" s="284"/>
    </row>
    <row r="41" spans="1:13" s="283" customFormat="1" ht="20.100000000000001" customHeight="1">
      <c r="A41" s="278"/>
      <c r="B41" s="279" t="s">
        <v>604</v>
      </c>
      <c r="C41" s="592">
        <v>4</v>
      </c>
      <c r="D41" s="383" t="s">
        <v>128</v>
      </c>
      <c r="E41" s="591">
        <v>1120</v>
      </c>
      <c r="F41" s="588">
        <f>SUM(C41*E41)</f>
        <v>4480</v>
      </c>
      <c r="G41" s="593" t="s">
        <v>124</v>
      </c>
      <c r="H41" s="594" t="s">
        <v>124</v>
      </c>
      <c r="I41" s="282">
        <f t="shared" si="3"/>
        <v>4480</v>
      </c>
      <c r="J41" s="277"/>
      <c r="L41" s="284"/>
    </row>
    <row r="42" spans="1:13" s="283" customFormat="1" ht="20.100000000000001" customHeight="1">
      <c r="A42" s="278"/>
      <c r="B42" s="279" t="s">
        <v>563</v>
      </c>
      <c r="C42" s="592">
        <v>1</v>
      </c>
      <c r="D42" s="383" t="s">
        <v>128</v>
      </c>
      <c r="E42" s="591">
        <v>1344</v>
      </c>
      <c r="F42" s="588">
        <f>SUM(C42*E42)</f>
        <v>1344</v>
      </c>
      <c r="G42" s="593" t="s">
        <v>124</v>
      </c>
      <c r="H42" s="594" t="s">
        <v>124</v>
      </c>
      <c r="I42" s="282">
        <f t="shared" si="3"/>
        <v>1344</v>
      </c>
      <c r="J42" s="277"/>
      <c r="L42" s="284"/>
      <c r="M42" s="283" t="s">
        <v>9</v>
      </c>
    </row>
    <row r="43" spans="1:13" s="283" customFormat="1" ht="20.100000000000001" customHeight="1">
      <c r="A43" s="278"/>
      <c r="B43" s="333" t="s">
        <v>564</v>
      </c>
      <c r="C43" s="587">
        <v>1</v>
      </c>
      <c r="D43" s="492" t="s">
        <v>128</v>
      </c>
      <c r="E43" s="589">
        <v>1500</v>
      </c>
      <c r="F43" s="582">
        <f>SUM(C43*E43)</f>
        <v>1500</v>
      </c>
      <c r="G43" s="584" t="s">
        <v>124</v>
      </c>
      <c r="H43" s="584" t="s">
        <v>124</v>
      </c>
      <c r="I43" s="282">
        <f t="shared" si="3"/>
        <v>1500</v>
      </c>
      <c r="J43" s="277"/>
      <c r="L43" s="284"/>
    </row>
    <row r="44" spans="1:13" s="283" customFormat="1" ht="20.100000000000001" customHeight="1">
      <c r="A44" s="278"/>
      <c r="B44" s="333" t="s">
        <v>565</v>
      </c>
      <c r="C44" s="581">
        <v>11</v>
      </c>
      <c r="D44" s="335" t="s">
        <v>128</v>
      </c>
      <c r="E44" s="582">
        <v>200</v>
      </c>
      <c r="F44" s="583">
        <f>C44*E44</f>
        <v>2200</v>
      </c>
      <c r="G44" s="584" t="s">
        <v>124</v>
      </c>
      <c r="H44" s="584" t="s">
        <v>124</v>
      </c>
      <c r="I44" s="282">
        <f t="shared" si="3"/>
        <v>2200</v>
      </c>
      <c r="J44" s="277"/>
      <c r="L44" s="284"/>
    </row>
    <row r="45" spans="1:13" s="283" customFormat="1" ht="20.100000000000001" customHeight="1">
      <c r="A45" s="278"/>
      <c r="B45" s="279"/>
      <c r="C45" s="299"/>
      <c r="D45" s="274"/>
      <c r="E45" s="289"/>
      <c r="F45" s="281"/>
      <c r="G45" s="281"/>
      <c r="H45" s="281"/>
      <c r="I45" s="276"/>
      <c r="J45" s="277"/>
      <c r="L45" s="284"/>
    </row>
    <row r="46" spans="1:13" s="267" customFormat="1" ht="20.100000000000001" customHeight="1">
      <c r="A46" s="460"/>
      <c r="B46" s="288" t="s">
        <v>18</v>
      </c>
      <c r="C46" s="285"/>
      <c r="D46" s="274"/>
      <c r="E46" s="289"/>
      <c r="F46" s="290">
        <f>SUM(F29:F45)</f>
        <v>707297</v>
      </c>
      <c r="G46" s="291"/>
      <c r="H46" s="290"/>
      <c r="I46" s="276"/>
      <c r="J46" s="277"/>
      <c r="K46" s="286">
        <f>+H46+F46</f>
        <v>707297</v>
      </c>
      <c r="L46" s="196"/>
    </row>
    <row r="47" spans="1:13" s="267" customFormat="1" ht="20.100000000000001" customHeight="1">
      <c r="A47" s="460"/>
      <c r="B47" s="278" t="s">
        <v>86</v>
      </c>
      <c r="C47" s="285"/>
      <c r="D47" s="274"/>
      <c r="E47" s="289"/>
      <c r="F47" s="281"/>
      <c r="G47" s="291"/>
      <c r="H47" s="292"/>
      <c r="I47" s="423">
        <f>SUM(I29:I45)</f>
        <v>707297</v>
      </c>
      <c r="J47" s="277"/>
      <c r="K47" s="286"/>
      <c r="L47" s="196"/>
    </row>
    <row r="48" spans="1:13" s="267" customFormat="1" ht="20.100000000000001" customHeight="1">
      <c r="A48" s="411"/>
      <c r="B48" s="462" t="s">
        <v>554</v>
      </c>
      <c r="C48" s="271"/>
      <c r="D48" s="272"/>
      <c r="E48" s="273"/>
      <c r="F48" s="273"/>
      <c r="G48" s="273"/>
      <c r="H48" s="486"/>
      <c r="I48" s="266"/>
      <c r="J48" s="272"/>
      <c r="L48" s="196"/>
    </row>
    <row r="49" spans="1:14" s="283" customFormat="1" ht="20.100000000000001" customHeight="1">
      <c r="A49" s="278"/>
      <c r="B49" s="333" t="s">
        <v>566</v>
      </c>
      <c r="C49" s="581">
        <v>1</v>
      </c>
      <c r="D49" s="335" t="s">
        <v>128</v>
      </c>
      <c r="E49" s="582">
        <v>56</v>
      </c>
      <c r="F49" s="583">
        <f>C49*E49</f>
        <v>56</v>
      </c>
      <c r="G49" s="584" t="s">
        <v>124</v>
      </c>
      <c r="H49" s="584" t="s">
        <v>124</v>
      </c>
      <c r="I49" s="282">
        <f t="shared" ref="I49:I54" si="5">SUM(F49)</f>
        <v>56</v>
      </c>
      <c r="J49" s="277"/>
      <c r="L49" s="284"/>
    </row>
    <row r="50" spans="1:14" s="283" customFormat="1" ht="20.100000000000001" customHeight="1">
      <c r="A50" s="278"/>
      <c r="B50" s="333" t="s">
        <v>605</v>
      </c>
      <c r="C50" s="581">
        <v>2</v>
      </c>
      <c r="D50" s="335" t="s">
        <v>128</v>
      </c>
      <c r="E50" s="582">
        <v>480</v>
      </c>
      <c r="F50" s="583">
        <f>C50*E50</f>
        <v>960</v>
      </c>
      <c r="G50" s="584" t="s">
        <v>124</v>
      </c>
      <c r="H50" s="584" t="s">
        <v>124</v>
      </c>
      <c r="I50" s="282">
        <f t="shared" si="5"/>
        <v>960</v>
      </c>
      <c r="J50" s="277"/>
      <c r="L50" s="284"/>
    </row>
    <row r="51" spans="1:14" s="283" customFormat="1" ht="20.100000000000001" customHeight="1">
      <c r="A51" s="278"/>
      <c r="B51" s="333" t="s">
        <v>567</v>
      </c>
      <c r="C51" s="581">
        <v>25</v>
      </c>
      <c r="D51" s="335" t="s">
        <v>288</v>
      </c>
      <c r="E51" s="582">
        <v>1440</v>
      </c>
      <c r="F51" s="583">
        <f>C51*E51</f>
        <v>36000</v>
      </c>
      <c r="G51" s="584" t="s">
        <v>124</v>
      </c>
      <c r="H51" s="584" t="s">
        <v>124</v>
      </c>
      <c r="I51" s="282">
        <f t="shared" si="5"/>
        <v>36000</v>
      </c>
      <c r="J51" s="277"/>
      <c r="L51" s="284"/>
    </row>
    <row r="52" spans="1:14" s="283" customFormat="1" ht="20.100000000000001" customHeight="1">
      <c r="A52" s="278"/>
      <c r="B52" s="333" t="s">
        <v>606</v>
      </c>
      <c r="C52" s="581">
        <v>3</v>
      </c>
      <c r="D52" s="492" t="s">
        <v>128</v>
      </c>
      <c r="E52" s="586">
        <v>3500</v>
      </c>
      <c r="F52" s="589">
        <f>SUM(C52*E52)</f>
        <v>10500</v>
      </c>
      <c r="G52" s="590" t="s">
        <v>124</v>
      </c>
      <c r="H52" s="590" t="s">
        <v>124</v>
      </c>
      <c r="I52" s="282">
        <f t="shared" si="5"/>
        <v>10500</v>
      </c>
      <c r="J52" s="277"/>
      <c r="L52" s="284"/>
    </row>
    <row r="53" spans="1:14" s="283" customFormat="1" ht="20.100000000000001" customHeight="1">
      <c r="A53" s="278"/>
      <c r="B53" s="333" t="s">
        <v>568</v>
      </c>
      <c r="C53" s="581">
        <v>1</v>
      </c>
      <c r="D53" s="492" t="s">
        <v>156</v>
      </c>
      <c r="E53" s="586">
        <v>8000</v>
      </c>
      <c r="F53" s="589">
        <f>SUM(C53*E53)</f>
        <v>8000</v>
      </c>
      <c r="G53" s="590" t="s">
        <v>124</v>
      </c>
      <c r="H53" s="590" t="s">
        <v>124</v>
      </c>
      <c r="I53" s="282">
        <f t="shared" si="5"/>
        <v>8000</v>
      </c>
      <c r="J53" s="277"/>
      <c r="K53" s="586"/>
      <c r="L53" s="284"/>
    </row>
    <row r="54" spans="1:14" s="283" customFormat="1" ht="20.100000000000001" customHeight="1">
      <c r="A54" s="278"/>
      <c r="B54" s="333" t="s">
        <v>569</v>
      </c>
      <c r="C54" s="581">
        <v>9</v>
      </c>
      <c r="D54" s="335" t="s">
        <v>128</v>
      </c>
      <c r="E54" s="588">
        <v>2500</v>
      </c>
      <c r="F54" s="582">
        <f>SUM(C54*E54)</f>
        <v>22500</v>
      </c>
      <c r="G54" s="584" t="s">
        <v>124</v>
      </c>
      <c r="H54" s="584" t="s">
        <v>124</v>
      </c>
      <c r="I54" s="282">
        <f t="shared" si="5"/>
        <v>22500</v>
      </c>
      <c r="J54" s="277"/>
      <c r="L54" s="284" t="s">
        <v>9</v>
      </c>
      <c r="M54" s="283" t="s">
        <v>9</v>
      </c>
      <c r="N54" s="283" t="s">
        <v>9</v>
      </c>
    </row>
    <row r="55" spans="1:14" s="283" customFormat="1" ht="20.100000000000001" customHeight="1">
      <c r="A55" s="278"/>
      <c r="B55" s="279" t="s">
        <v>416</v>
      </c>
      <c r="C55" s="595">
        <v>1</v>
      </c>
      <c r="D55" s="596" t="s">
        <v>19</v>
      </c>
      <c r="E55" s="586">
        <v>60000</v>
      </c>
      <c r="F55" s="589">
        <f>SUM(C55*E55)</f>
        <v>60000</v>
      </c>
      <c r="G55" s="597" t="s">
        <v>124</v>
      </c>
      <c r="H55" s="598" t="s">
        <v>124</v>
      </c>
      <c r="I55" s="282">
        <f>SUM(F55)</f>
        <v>60000</v>
      </c>
      <c r="J55" s="277"/>
      <c r="L55" s="284" t="s">
        <v>9</v>
      </c>
    </row>
    <row r="56" spans="1:14" s="283" customFormat="1" ht="20.100000000000001" customHeight="1">
      <c r="A56" s="278"/>
      <c r="B56" s="287" t="s">
        <v>570</v>
      </c>
      <c r="C56" s="595">
        <v>1</v>
      </c>
      <c r="D56" s="274" t="s">
        <v>19</v>
      </c>
      <c r="E56" s="590" t="s">
        <v>124</v>
      </c>
      <c r="F56" s="590" t="s">
        <v>124</v>
      </c>
      <c r="G56" s="586">
        <v>160000</v>
      </c>
      <c r="H56" s="583">
        <f>SUM(G56*C56)</f>
        <v>160000</v>
      </c>
      <c r="I56" s="282">
        <f>SUM(H56)</f>
        <v>160000</v>
      </c>
      <c r="J56" s="277"/>
      <c r="L56" s="284"/>
    </row>
    <row r="57" spans="1:14" s="283" customFormat="1" ht="20.100000000000001" customHeight="1">
      <c r="A57" s="278"/>
      <c r="B57" s="279"/>
      <c r="C57" s="299"/>
      <c r="D57" s="274"/>
      <c r="E57" s="289"/>
      <c r="F57" s="281"/>
      <c r="G57" s="281"/>
      <c r="H57" s="281"/>
      <c r="I57" s="276"/>
      <c r="J57" s="277"/>
      <c r="L57" s="284"/>
      <c r="M57" s="283" t="s">
        <v>9</v>
      </c>
    </row>
    <row r="58" spans="1:14" s="283" customFormat="1" ht="20.100000000000001" customHeight="1">
      <c r="A58" s="278"/>
      <c r="B58" s="279"/>
      <c r="C58" s="299"/>
      <c r="D58" s="274"/>
      <c r="E58" s="289" t="s">
        <v>9</v>
      </c>
      <c r="F58" s="281"/>
      <c r="G58" s="281"/>
      <c r="H58" s="281"/>
      <c r="I58" s="276"/>
      <c r="J58" s="277"/>
      <c r="L58" s="284" t="s">
        <v>9</v>
      </c>
    </row>
    <row r="59" spans="1:14" s="283" customFormat="1" ht="20.100000000000001" customHeight="1">
      <c r="A59" s="278"/>
      <c r="B59" s="279"/>
      <c r="C59" s="299"/>
      <c r="D59" s="274"/>
      <c r="E59" s="289"/>
      <c r="F59" s="281"/>
      <c r="G59" s="281"/>
      <c r="H59" s="281"/>
      <c r="I59" s="276"/>
      <c r="J59" s="277"/>
      <c r="L59" s="284"/>
    </row>
    <row r="60" spans="1:14" s="283" customFormat="1" ht="20.100000000000001" customHeight="1">
      <c r="A60" s="278"/>
      <c r="B60" s="279"/>
      <c r="C60" s="299"/>
      <c r="D60" s="274"/>
      <c r="E60" s="289"/>
      <c r="F60" s="281"/>
      <c r="G60" s="281"/>
      <c r="H60" s="281"/>
      <c r="I60" s="276"/>
      <c r="J60" s="277"/>
      <c r="L60" s="284" t="s">
        <v>9</v>
      </c>
    </row>
    <row r="61" spans="1:14" s="283" customFormat="1" ht="20.100000000000001" customHeight="1">
      <c r="A61" s="278"/>
      <c r="B61" s="279"/>
      <c r="C61" s="299"/>
      <c r="D61" s="274"/>
      <c r="E61" s="289"/>
      <c r="F61" s="281"/>
      <c r="G61" s="281"/>
      <c r="H61" s="281"/>
      <c r="I61" s="276"/>
      <c r="J61" s="277"/>
      <c r="L61" s="284" t="s">
        <v>9</v>
      </c>
    </row>
    <row r="62" spans="1:14" s="283" customFormat="1" ht="20.100000000000001" customHeight="1">
      <c r="A62" s="278"/>
      <c r="B62" s="279"/>
      <c r="C62" s="299"/>
      <c r="D62" s="274"/>
      <c r="E62" s="289"/>
      <c r="F62" s="281"/>
      <c r="G62" s="281"/>
      <c r="H62" s="281"/>
      <c r="I62" s="276"/>
      <c r="J62" s="277"/>
      <c r="L62" s="284"/>
    </row>
    <row r="63" spans="1:14" s="283" customFormat="1" ht="20.100000000000001" customHeight="1">
      <c r="A63" s="278"/>
      <c r="B63" s="279"/>
      <c r="C63" s="299"/>
      <c r="D63" s="274"/>
      <c r="E63" s="289"/>
      <c r="F63" s="281"/>
      <c r="G63" s="281"/>
      <c r="H63" s="281"/>
      <c r="I63" s="276"/>
      <c r="J63" s="277"/>
      <c r="L63" s="284"/>
    </row>
    <row r="64" spans="1:14" s="283" customFormat="1" ht="20.100000000000001" customHeight="1">
      <c r="A64" s="278"/>
      <c r="B64" s="279"/>
      <c r="C64" s="299"/>
      <c r="D64" s="274"/>
      <c r="E64" s="289"/>
      <c r="F64" s="281"/>
      <c r="G64" s="281"/>
      <c r="H64" s="281"/>
      <c r="I64" s="276"/>
      <c r="J64" s="277"/>
      <c r="L64" s="284"/>
    </row>
    <row r="65" spans="1:12" s="283" customFormat="1" ht="20.100000000000001" customHeight="1">
      <c r="A65" s="278"/>
      <c r="B65" s="279"/>
      <c r="C65" s="299"/>
      <c r="D65" s="274"/>
      <c r="E65" s="289"/>
      <c r="F65" s="281"/>
      <c r="G65" s="281"/>
      <c r="H65" s="281"/>
      <c r="I65" s="276"/>
      <c r="J65" s="277"/>
      <c r="L65" s="284"/>
    </row>
    <row r="66" spans="1:12" s="267" customFormat="1" ht="20.100000000000001" customHeight="1">
      <c r="A66" s="460"/>
      <c r="B66" s="288" t="s">
        <v>18</v>
      </c>
      <c r="C66" s="285"/>
      <c r="D66" s="274"/>
      <c r="E66" s="289"/>
      <c r="F66" s="290">
        <f>SUM(F49:F65)</f>
        <v>138016</v>
      </c>
      <c r="G66" s="291"/>
      <c r="H66" s="290">
        <f>SUM(H48:H64)</f>
        <v>160000</v>
      </c>
      <c r="I66" s="276"/>
      <c r="J66" s="277"/>
      <c r="K66" s="286">
        <f>+H66+F66</f>
        <v>298016</v>
      </c>
      <c r="L66" s="196"/>
    </row>
    <row r="67" spans="1:12" s="267" customFormat="1" ht="20.100000000000001" customHeight="1">
      <c r="A67" s="460"/>
      <c r="B67" s="278" t="s">
        <v>86</v>
      </c>
      <c r="C67" s="285"/>
      <c r="D67" s="274"/>
      <c r="E67" s="289"/>
      <c r="F67" s="281"/>
      <c r="G67" s="291"/>
      <c r="H67" s="292"/>
      <c r="I67" s="423">
        <f>SUM(I49:I65)</f>
        <v>298016</v>
      </c>
      <c r="J67" s="277"/>
      <c r="K67" s="286"/>
      <c r="L67" s="196"/>
    </row>
    <row r="69" spans="1:12">
      <c r="I69" s="465">
        <f>SUM(I27+I47+I67)</f>
        <v>1728393</v>
      </c>
    </row>
  </sheetData>
  <mergeCells count="9">
    <mergeCell ref="A1:J1"/>
    <mergeCell ref="B3:E3"/>
    <mergeCell ref="A6:A7"/>
    <mergeCell ref="B6:B7"/>
    <mergeCell ref="C6:C7"/>
    <mergeCell ref="D6:D7"/>
    <mergeCell ref="E6:F6"/>
    <mergeCell ref="G6:H6"/>
    <mergeCell ref="J6:J7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N128"/>
  <sheetViews>
    <sheetView view="pageBreakPreview" topLeftCell="A114" zoomScale="90" zoomScaleSheetLayoutView="90" workbookViewId="0">
      <selection sqref="A1:J128"/>
    </sheetView>
  </sheetViews>
  <sheetFormatPr defaultRowHeight="24"/>
  <cols>
    <col min="1" max="1" width="10.28515625" style="413" customWidth="1"/>
    <col min="2" max="2" width="56.140625" style="304" customWidth="1"/>
    <col min="3" max="3" width="8.5703125" style="304" customWidth="1"/>
    <col min="4" max="4" width="7" style="304" customWidth="1"/>
    <col min="5" max="8" width="11.7109375" style="304" customWidth="1"/>
    <col min="9" max="9" width="13.140625" style="304" customWidth="1"/>
    <col min="10" max="10" width="8.85546875" style="304" customWidth="1"/>
    <col min="11" max="11" width="12" style="304" customWidth="1"/>
    <col min="12" max="12" width="13.85546875" style="305" bestFit="1" customWidth="1"/>
    <col min="13" max="14" width="13.85546875" style="304" bestFit="1" customWidth="1"/>
    <col min="15" max="16384" width="9.140625" style="304"/>
  </cols>
  <sheetData>
    <row r="1" spans="1:12" s="196" customFormat="1" ht="21.75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2" s="263" customFormat="1" ht="21.75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2" s="196" customFormat="1" ht="21.75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708</v>
      </c>
      <c r="H3" s="261"/>
      <c r="I3" s="261"/>
      <c r="J3" s="203"/>
    </row>
    <row r="4" spans="1:12" s="263" customFormat="1" ht="21.75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2" s="263" customFormat="1" ht="22.5" thickBot="1">
      <c r="A5" s="410"/>
      <c r="B5" s="264"/>
      <c r="C5" s="264"/>
      <c r="D5" s="264"/>
      <c r="E5" s="264"/>
      <c r="F5" s="264"/>
      <c r="G5" s="264"/>
      <c r="H5" s="264"/>
      <c r="I5" s="265"/>
      <c r="J5" s="265"/>
    </row>
    <row r="6" spans="1:12" s="267" customFormat="1" ht="22.5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  <c r="L6" s="196"/>
    </row>
    <row r="7" spans="1:12" s="267" customFormat="1" ht="22.5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  <c r="L7" s="196"/>
    </row>
    <row r="8" spans="1:12" s="267" customFormat="1" ht="20.100000000000001" customHeight="1" thickTop="1">
      <c r="A8" s="411"/>
      <c r="B8" s="462" t="s">
        <v>607</v>
      </c>
      <c r="C8" s="271"/>
      <c r="D8" s="272"/>
      <c r="E8" s="273"/>
      <c r="F8" s="273"/>
      <c r="G8" s="273"/>
      <c r="H8" s="486"/>
      <c r="I8" s="266"/>
      <c r="J8" s="272"/>
      <c r="L8" s="196"/>
    </row>
    <row r="9" spans="1:12" s="283" customFormat="1" ht="20.100000000000001" customHeight="1">
      <c r="A9" s="278"/>
      <c r="B9" s="430" t="s">
        <v>608</v>
      </c>
      <c r="C9" s="296"/>
      <c r="D9" s="296"/>
      <c r="E9" s="441"/>
      <c r="F9" s="441"/>
      <c r="G9" s="441"/>
      <c r="H9" s="441"/>
      <c r="I9" s="303"/>
      <c r="J9" s="277"/>
      <c r="L9" s="284"/>
    </row>
    <row r="10" spans="1:12" s="283" customFormat="1" ht="20.100000000000001" customHeight="1">
      <c r="A10" s="278"/>
      <c r="B10" s="277" t="s">
        <v>609</v>
      </c>
      <c r="C10" s="296">
        <v>127</v>
      </c>
      <c r="D10" s="296" t="s">
        <v>288</v>
      </c>
      <c r="E10" s="441">
        <v>166</v>
      </c>
      <c r="F10" s="441">
        <f>SUM(E10*C10)</f>
        <v>21082</v>
      </c>
      <c r="G10" s="441">
        <v>120</v>
      </c>
      <c r="H10" s="441">
        <f>SUM(G10*C10)</f>
        <v>15240</v>
      </c>
      <c r="I10" s="303">
        <f>SUM(H10+F10)</f>
        <v>36322</v>
      </c>
      <c r="J10" s="277"/>
      <c r="L10" s="284"/>
    </row>
    <row r="11" spans="1:12" s="283" customFormat="1" ht="20.100000000000001" customHeight="1">
      <c r="A11" s="278"/>
      <c r="B11" s="277" t="s">
        <v>610</v>
      </c>
      <c r="C11" s="296">
        <v>129</v>
      </c>
      <c r="D11" s="296" t="s">
        <v>288</v>
      </c>
      <c r="E11" s="441">
        <v>248</v>
      </c>
      <c r="F11" s="441">
        <f>SUM(E11*C11)</f>
        <v>31992</v>
      </c>
      <c r="G11" s="441">
        <v>150</v>
      </c>
      <c r="H11" s="441">
        <f>SUM(G11*C11)</f>
        <v>19350</v>
      </c>
      <c r="I11" s="303">
        <f>SUM(H11+F11)</f>
        <v>51342</v>
      </c>
      <c r="J11" s="277"/>
      <c r="L11" s="284"/>
    </row>
    <row r="12" spans="1:12" s="283" customFormat="1" ht="20.100000000000001" customHeight="1">
      <c r="A12" s="278"/>
      <c r="B12" s="430" t="s">
        <v>611</v>
      </c>
      <c r="C12" s="274"/>
      <c r="D12" s="274"/>
      <c r="E12" s="275"/>
      <c r="F12" s="275"/>
      <c r="G12" s="275"/>
      <c r="H12" s="275"/>
      <c r="I12" s="276"/>
      <c r="J12" s="277"/>
      <c r="L12" s="284"/>
    </row>
    <row r="13" spans="1:12" s="283" customFormat="1" ht="20.100000000000001" customHeight="1">
      <c r="A13" s="278"/>
      <c r="B13" s="277" t="s">
        <v>612</v>
      </c>
      <c r="C13" s="296">
        <v>9</v>
      </c>
      <c r="D13" s="296" t="s">
        <v>288</v>
      </c>
      <c r="E13" s="441">
        <v>3774</v>
      </c>
      <c r="F13" s="441">
        <f>SUM(E13*C13)</f>
        <v>33966</v>
      </c>
      <c r="G13" s="390" t="s">
        <v>124</v>
      </c>
      <c r="H13" s="390" t="s">
        <v>124</v>
      </c>
      <c r="I13" s="303">
        <f>SUM(F13)</f>
        <v>33966</v>
      </c>
      <c r="J13" s="277"/>
      <c r="L13" s="284"/>
    </row>
    <row r="14" spans="1:12" s="283" customFormat="1" ht="20.100000000000001" customHeight="1">
      <c r="A14" s="278"/>
      <c r="B14" s="430" t="s">
        <v>613</v>
      </c>
      <c r="C14" s="296"/>
      <c r="D14" s="296"/>
      <c r="E14" s="441"/>
      <c r="F14" s="441"/>
      <c r="G14" s="441"/>
      <c r="H14" s="441"/>
      <c r="I14" s="303"/>
      <c r="J14" s="277"/>
      <c r="L14" s="284"/>
    </row>
    <row r="15" spans="1:12" s="283" customFormat="1" ht="20.100000000000001" customHeight="1">
      <c r="A15" s="278"/>
      <c r="B15" s="277" t="s">
        <v>614</v>
      </c>
      <c r="C15" s="296">
        <v>4</v>
      </c>
      <c r="D15" s="296" t="s">
        <v>296</v>
      </c>
      <c r="E15" s="388">
        <v>1243</v>
      </c>
      <c r="F15" s="388">
        <f>SUM(C15*E15)</f>
        <v>4972</v>
      </c>
      <c r="G15" s="390" t="s">
        <v>124</v>
      </c>
      <c r="H15" s="390" t="s">
        <v>124</v>
      </c>
      <c r="I15" s="303">
        <f>SUM(F15)</f>
        <v>4972</v>
      </c>
      <c r="J15" s="277"/>
      <c r="L15" s="284" t="s">
        <v>9</v>
      </c>
    </row>
    <row r="16" spans="1:12" s="283" customFormat="1" ht="20.100000000000001" customHeight="1">
      <c r="A16" s="278"/>
      <c r="B16" s="277" t="s">
        <v>615</v>
      </c>
      <c r="C16" s="296">
        <v>1</v>
      </c>
      <c r="D16" s="296" t="s">
        <v>296</v>
      </c>
      <c r="E16" s="388">
        <v>1152</v>
      </c>
      <c r="F16" s="388">
        <f>SUM(C16*E16)</f>
        <v>1152</v>
      </c>
      <c r="G16" s="390" t="s">
        <v>124</v>
      </c>
      <c r="H16" s="390" t="s">
        <v>124</v>
      </c>
      <c r="I16" s="303">
        <f>SUM(F16)</f>
        <v>1152</v>
      </c>
      <c r="J16" s="277"/>
      <c r="L16" s="284"/>
    </row>
    <row r="17" spans="1:13" s="283" customFormat="1" ht="20.100000000000001" customHeight="1">
      <c r="A17" s="278"/>
      <c r="B17" s="277" t="s">
        <v>616</v>
      </c>
      <c r="C17" s="296">
        <v>2</v>
      </c>
      <c r="D17" s="296" t="s">
        <v>296</v>
      </c>
      <c r="E17" s="388">
        <v>1411</v>
      </c>
      <c r="F17" s="388">
        <f>SUM(C17*E17)</f>
        <v>2822</v>
      </c>
      <c r="G17" s="390" t="s">
        <v>124</v>
      </c>
      <c r="H17" s="390" t="s">
        <v>124</v>
      </c>
      <c r="I17" s="303">
        <f>SUM(F17)</f>
        <v>2822</v>
      </c>
      <c r="J17" s="277"/>
      <c r="L17" s="284"/>
    </row>
    <row r="18" spans="1:13" s="283" customFormat="1" ht="20.100000000000001" customHeight="1">
      <c r="A18" s="278"/>
      <c r="B18" s="387" t="s">
        <v>617</v>
      </c>
      <c r="C18" s="392">
        <v>1</v>
      </c>
      <c r="D18" s="392" t="s">
        <v>19</v>
      </c>
      <c r="E18" s="441">
        <v>8700</v>
      </c>
      <c r="F18" s="441">
        <f>SUM(E18*C18)</f>
        <v>8700</v>
      </c>
      <c r="G18" s="441">
        <v>2600</v>
      </c>
      <c r="H18" s="441">
        <f>SUM(G18*C18)</f>
        <v>2600</v>
      </c>
      <c r="I18" s="303">
        <f>SUM(H18+F18)</f>
        <v>11300</v>
      </c>
      <c r="J18" s="277"/>
      <c r="L18" s="284"/>
    </row>
    <row r="19" spans="1:13" s="283" customFormat="1" ht="20.100000000000001" customHeight="1">
      <c r="A19" s="278"/>
      <c r="B19" s="430"/>
      <c r="C19" s="296"/>
      <c r="D19" s="296"/>
      <c r="E19" s="388"/>
      <c r="F19" s="388"/>
      <c r="G19" s="390"/>
      <c r="H19" s="390"/>
      <c r="I19" s="303"/>
      <c r="J19" s="277"/>
      <c r="L19" s="284"/>
    </row>
    <row r="20" spans="1:13" s="283" customFormat="1" ht="20.100000000000001" customHeight="1">
      <c r="A20" s="278"/>
      <c r="B20" s="430"/>
      <c r="C20" s="285"/>
      <c r="D20" s="274"/>
      <c r="E20" s="444"/>
      <c r="F20" s="444"/>
      <c r="G20" s="441"/>
      <c r="H20" s="441"/>
      <c r="I20" s="303"/>
      <c r="J20" s="277"/>
      <c r="L20" s="284"/>
    </row>
    <row r="21" spans="1:13" s="283" customFormat="1" ht="20.100000000000001" customHeight="1">
      <c r="A21" s="278"/>
      <c r="B21" s="277"/>
      <c r="C21" s="296"/>
      <c r="D21" s="296"/>
      <c r="E21" s="441"/>
      <c r="F21" s="441"/>
      <c r="G21" s="441"/>
      <c r="H21" s="441"/>
      <c r="I21" s="303"/>
      <c r="J21" s="277"/>
      <c r="L21" s="284"/>
    </row>
    <row r="22" spans="1:13" s="283" customFormat="1" ht="20.100000000000001" customHeight="1">
      <c r="A22" s="278"/>
      <c r="B22" s="279"/>
      <c r="C22" s="299"/>
      <c r="D22" s="274"/>
      <c r="E22" s="289"/>
      <c r="F22" s="281"/>
      <c r="G22" s="281"/>
      <c r="H22" s="281"/>
      <c r="I22" s="276"/>
      <c r="J22" s="277"/>
      <c r="L22" s="284"/>
    </row>
    <row r="23" spans="1:13" s="283" customFormat="1" ht="20.100000000000001" customHeight="1">
      <c r="A23" s="278"/>
      <c r="B23" s="279"/>
      <c r="C23" s="299"/>
      <c r="D23" s="274"/>
      <c r="E23" s="289"/>
      <c r="F23" s="281"/>
      <c r="G23" s="281"/>
      <c r="H23" s="281"/>
      <c r="I23" s="276"/>
      <c r="J23" s="277"/>
      <c r="L23" s="284"/>
    </row>
    <row r="24" spans="1:13" s="283" customFormat="1" ht="20.100000000000001" customHeight="1">
      <c r="A24" s="278"/>
      <c r="B24" s="279"/>
      <c r="C24" s="299"/>
      <c r="D24" s="274"/>
      <c r="E24" s="289"/>
      <c r="F24" s="281"/>
      <c r="G24" s="281"/>
      <c r="H24" s="281"/>
      <c r="I24" s="276"/>
      <c r="J24" s="277"/>
      <c r="L24" s="284"/>
    </row>
    <row r="25" spans="1:13" s="283" customFormat="1" ht="20.100000000000001" customHeight="1">
      <c r="A25" s="278"/>
      <c r="B25" s="279"/>
      <c r="C25" s="299"/>
      <c r="D25" s="274"/>
      <c r="E25" s="289"/>
      <c r="F25" s="281"/>
      <c r="G25" s="281"/>
      <c r="H25" s="281"/>
      <c r="I25" s="276"/>
      <c r="J25" s="277"/>
      <c r="L25" s="284"/>
    </row>
    <row r="26" spans="1:13" s="267" customFormat="1" ht="20.100000000000001" customHeight="1">
      <c r="A26" s="460"/>
      <c r="B26" s="288" t="s">
        <v>18</v>
      </c>
      <c r="C26" s="285"/>
      <c r="D26" s="274"/>
      <c r="E26" s="289"/>
      <c r="F26" s="290">
        <f>SUM(F9:F25)</f>
        <v>104686</v>
      </c>
      <c r="G26" s="291"/>
      <c r="H26" s="290">
        <f>SUM(H8:H24)</f>
        <v>37190</v>
      </c>
      <c r="I26" s="276"/>
      <c r="J26" s="277"/>
      <c r="K26" s="286">
        <f>+H26+F26</f>
        <v>141876</v>
      </c>
      <c r="L26" s="196"/>
    </row>
    <row r="27" spans="1:13" s="267" customFormat="1" ht="20.100000000000001" customHeight="1">
      <c r="A27" s="460"/>
      <c r="B27" s="278" t="s">
        <v>86</v>
      </c>
      <c r="C27" s="285"/>
      <c r="D27" s="274"/>
      <c r="E27" s="289"/>
      <c r="F27" s="281"/>
      <c r="G27" s="291"/>
      <c r="H27" s="292"/>
      <c r="I27" s="423">
        <f>SUM(I9:I25)</f>
        <v>141876</v>
      </c>
      <c r="J27" s="277"/>
      <c r="K27" s="286"/>
      <c r="L27" s="196"/>
      <c r="M27" s="267" t="s">
        <v>9</v>
      </c>
    </row>
    <row r="28" spans="1:13" s="267" customFormat="1" ht="20.100000000000001" customHeight="1">
      <c r="A28" s="452"/>
      <c r="B28" s="462" t="s">
        <v>577</v>
      </c>
      <c r="C28" s="285"/>
      <c r="D28" s="274"/>
      <c r="E28" s="289"/>
      <c r="F28" s="281"/>
      <c r="G28" s="291"/>
      <c r="H28" s="292"/>
      <c r="I28" s="453"/>
      <c r="J28" s="454"/>
      <c r="K28" s="286"/>
      <c r="L28" s="196"/>
    </row>
    <row r="29" spans="1:13" s="267" customFormat="1" ht="20.100000000000001" customHeight="1">
      <c r="A29" s="411"/>
      <c r="B29" s="377" t="s">
        <v>618</v>
      </c>
      <c r="C29" s="299"/>
      <c r="D29" s="274"/>
      <c r="E29" s="289"/>
      <c r="F29" s="281"/>
      <c r="G29" s="281"/>
      <c r="H29" s="281"/>
      <c r="I29" s="466"/>
      <c r="J29" s="272"/>
      <c r="L29" s="196"/>
    </row>
    <row r="30" spans="1:13" s="283" customFormat="1" ht="20.100000000000001" customHeight="1">
      <c r="A30" s="278"/>
      <c r="B30" s="377" t="s">
        <v>619</v>
      </c>
      <c r="C30" s="299"/>
      <c r="D30" s="274"/>
      <c r="E30" s="289"/>
      <c r="F30" s="281"/>
      <c r="G30" s="281"/>
      <c r="H30" s="281"/>
      <c r="I30" s="466"/>
      <c r="J30" s="277"/>
      <c r="L30" s="284"/>
    </row>
    <row r="31" spans="1:13" s="283" customFormat="1" ht="20.100000000000001" customHeight="1">
      <c r="A31" s="278"/>
      <c r="B31" s="279" t="s">
        <v>620</v>
      </c>
      <c r="C31" s="296">
        <v>1</v>
      </c>
      <c r="D31" s="296" t="s">
        <v>128</v>
      </c>
      <c r="E31" s="441">
        <v>16340</v>
      </c>
      <c r="F31" s="441">
        <f>SUM(E31*C31)</f>
        <v>16340</v>
      </c>
      <c r="G31" s="441">
        <v>800</v>
      </c>
      <c r="H31" s="441">
        <f>SUM(G31*C31)</f>
        <v>800</v>
      </c>
      <c r="I31" s="303">
        <f>SUM(H31+F31)</f>
        <v>17140</v>
      </c>
      <c r="J31" s="277"/>
      <c r="L31" s="284"/>
    </row>
    <row r="32" spans="1:13" s="283" customFormat="1" ht="20.100000000000001" customHeight="1">
      <c r="A32" s="278"/>
      <c r="B32" s="279" t="s">
        <v>621</v>
      </c>
      <c r="C32" s="296">
        <v>1.5</v>
      </c>
      <c r="D32" s="296" t="s">
        <v>288</v>
      </c>
      <c r="E32" s="441">
        <v>453.9</v>
      </c>
      <c r="F32" s="441">
        <f>SUM(E32*C32)</f>
        <v>680.84999999999991</v>
      </c>
      <c r="G32" s="441">
        <v>250</v>
      </c>
      <c r="H32" s="441">
        <f>SUM(G32*C32)</f>
        <v>375</v>
      </c>
      <c r="I32" s="303">
        <f>SUM(H32+F32)</f>
        <v>1055.8499999999999</v>
      </c>
      <c r="J32" s="277"/>
      <c r="L32" s="284"/>
    </row>
    <row r="33" spans="1:14" s="283" customFormat="1" ht="20.100000000000001" customHeight="1">
      <c r="A33" s="278"/>
      <c r="B33" s="277" t="s">
        <v>622</v>
      </c>
      <c r="C33" s="467">
        <v>1</v>
      </c>
      <c r="D33" s="296" t="s">
        <v>128</v>
      </c>
      <c r="E33" s="443">
        <v>2450</v>
      </c>
      <c r="F33" s="443">
        <f>SUM(E33*C33)</f>
        <v>2450</v>
      </c>
      <c r="G33" s="441">
        <v>800</v>
      </c>
      <c r="H33" s="441">
        <f>SUM(G33*C33)</f>
        <v>800</v>
      </c>
      <c r="I33" s="303">
        <f>SUM(H33+F33)</f>
        <v>3250</v>
      </c>
      <c r="J33" s="277"/>
      <c r="L33" s="284"/>
    </row>
    <row r="34" spans="1:14" s="283" customFormat="1" ht="20.100000000000001" customHeight="1">
      <c r="A34" s="278"/>
      <c r="B34" s="279" t="s">
        <v>623</v>
      </c>
      <c r="C34" s="296">
        <v>1</v>
      </c>
      <c r="D34" s="296" t="s">
        <v>19</v>
      </c>
      <c r="E34" s="441">
        <v>800</v>
      </c>
      <c r="F34" s="441">
        <f>SUM(E34*C34)</f>
        <v>800</v>
      </c>
      <c r="G34" s="470" t="s">
        <v>298</v>
      </c>
      <c r="H34" s="469" t="s">
        <v>173</v>
      </c>
      <c r="I34" s="303">
        <f>SUM(F34)</f>
        <v>800</v>
      </c>
      <c r="J34" s="277"/>
      <c r="L34" s="284"/>
    </row>
    <row r="35" spans="1:14" s="283" customFormat="1" ht="20.100000000000001" customHeight="1">
      <c r="A35" s="278"/>
      <c r="B35" s="377" t="s">
        <v>624</v>
      </c>
      <c r="C35" s="299"/>
      <c r="D35" s="274"/>
      <c r="E35" s="289"/>
      <c r="F35" s="281"/>
      <c r="G35" s="281"/>
      <c r="H35" s="281"/>
      <c r="I35" s="466"/>
      <c r="J35" s="277"/>
      <c r="L35" s="284"/>
    </row>
    <row r="36" spans="1:14" s="283" customFormat="1" ht="20.100000000000001" customHeight="1">
      <c r="A36" s="278"/>
      <c r="B36" s="279" t="s">
        <v>625</v>
      </c>
      <c r="C36" s="296">
        <v>1</v>
      </c>
      <c r="D36" s="296" t="s">
        <v>297</v>
      </c>
      <c r="E36" s="441">
        <v>2500</v>
      </c>
      <c r="F36" s="441">
        <f t="shared" ref="F36:F42" si="0">SUM(E36*C36)</f>
        <v>2500</v>
      </c>
      <c r="G36" s="470" t="s">
        <v>298</v>
      </c>
      <c r="H36" s="469" t="s">
        <v>173</v>
      </c>
      <c r="I36" s="303">
        <f>SUM(F36)</f>
        <v>2500</v>
      </c>
      <c r="J36" s="277"/>
      <c r="L36" s="284"/>
    </row>
    <row r="37" spans="1:14" s="283" customFormat="1" ht="20.100000000000001" customHeight="1">
      <c r="A37" s="278"/>
      <c r="B37" s="279" t="s">
        <v>626</v>
      </c>
      <c r="C37" s="296">
        <v>1.5</v>
      </c>
      <c r="D37" s="296" t="s">
        <v>288</v>
      </c>
      <c r="E37" s="441">
        <v>293</v>
      </c>
      <c r="F37" s="441">
        <f t="shared" si="0"/>
        <v>439.5</v>
      </c>
      <c r="G37" s="441">
        <v>175</v>
      </c>
      <c r="H37" s="441">
        <f t="shared" ref="H37:H42" si="1">SUM(G37*C37)</f>
        <v>262.5</v>
      </c>
      <c r="I37" s="303">
        <f t="shared" ref="I37:I42" si="2">SUM(H37+F37)</f>
        <v>702</v>
      </c>
      <c r="J37" s="277"/>
      <c r="L37" s="284"/>
    </row>
    <row r="38" spans="1:14" s="283" customFormat="1" ht="20.100000000000001" customHeight="1">
      <c r="A38" s="278"/>
      <c r="B38" s="279" t="s">
        <v>621</v>
      </c>
      <c r="C38" s="296">
        <v>1.5</v>
      </c>
      <c r="D38" s="296" t="s">
        <v>288</v>
      </c>
      <c r="E38" s="441">
        <v>453.9</v>
      </c>
      <c r="F38" s="441">
        <f t="shared" si="0"/>
        <v>680.84999999999991</v>
      </c>
      <c r="G38" s="441">
        <v>250</v>
      </c>
      <c r="H38" s="441">
        <f t="shared" si="1"/>
        <v>375</v>
      </c>
      <c r="I38" s="303">
        <f t="shared" si="2"/>
        <v>1055.8499999999999</v>
      </c>
      <c r="J38" s="277"/>
      <c r="L38" s="284"/>
    </row>
    <row r="39" spans="1:14" s="283" customFormat="1" ht="20.100000000000001" customHeight="1">
      <c r="A39" s="278"/>
      <c r="B39" s="279" t="s">
        <v>627</v>
      </c>
      <c r="C39" s="296">
        <v>1</v>
      </c>
      <c r="D39" s="296" t="s">
        <v>128</v>
      </c>
      <c r="E39" s="441">
        <v>11415</v>
      </c>
      <c r="F39" s="441">
        <f t="shared" si="0"/>
        <v>11415</v>
      </c>
      <c r="G39" s="441">
        <v>600</v>
      </c>
      <c r="H39" s="441">
        <f t="shared" si="1"/>
        <v>600</v>
      </c>
      <c r="I39" s="303">
        <f t="shared" si="2"/>
        <v>12015</v>
      </c>
      <c r="J39" s="277"/>
      <c r="L39" s="284"/>
    </row>
    <row r="40" spans="1:14" s="283" customFormat="1" ht="20.100000000000001" customHeight="1">
      <c r="A40" s="278"/>
      <c r="B40" s="279" t="s">
        <v>620</v>
      </c>
      <c r="C40" s="296">
        <v>1</v>
      </c>
      <c r="D40" s="296" t="s">
        <v>128</v>
      </c>
      <c r="E40" s="441">
        <v>16340</v>
      </c>
      <c r="F40" s="441">
        <f t="shared" si="0"/>
        <v>16340</v>
      </c>
      <c r="G40" s="441">
        <v>800</v>
      </c>
      <c r="H40" s="441">
        <f t="shared" si="1"/>
        <v>800</v>
      </c>
      <c r="I40" s="303">
        <f t="shared" si="2"/>
        <v>17140</v>
      </c>
      <c r="J40" s="277"/>
      <c r="L40" s="284"/>
    </row>
    <row r="41" spans="1:14" s="283" customFormat="1" ht="20.100000000000001" customHeight="1">
      <c r="A41" s="278"/>
      <c r="B41" s="277" t="s">
        <v>628</v>
      </c>
      <c r="C41" s="467">
        <v>1</v>
      </c>
      <c r="D41" s="296" t="s">
        <v>128</v>
      </c>
      <c r="E41" s="443">
        <v>2120</v>
      </c>
      <c r="F41" s="443">
        <f t="shared" si="0"/>
        <v>2120</v>
      </c>
      <c r="G41" s="441">
        <v>600</v>
      </c>
      <c r="H41" s="441">
        <f t="shared" si="1"/>
        <v>600</v>
      </c>
      <c r="I41" s="303">
        <f t="shared" si="2"/>
        <v>2720</v>
      </c>
      <c r="J41" s="277"/>
      <c r="L41" s="284"/>
    </row>
    <row r="42" spans="1:14" s="283" customFormat="1" ht="20.100000000000001" customHeight="1">
      <c r="A42" s="278"/>
      <c r="B42" s="277" t="s">
        <v>622</v>
      </c>
      <c r="C42" s="467">
        <v>2</v>
      </c>
      <c r="D42" s="296" t="s">
        <v>128</v>
      </c>
      <c r="E42" s="443">
        <v>3120</v>
      </c>
      <c r="F42" s="443">
        <f t="shared" si="0"/>
        <v>6240</v>
      </c>
      <c r="G42" s="441">
        <v>800</v>
      </c>
      <c r="H42" s="441">
        <f t="shared" si="1"/>
        <v>1600</v>
      </c>
      <c r="I42" s="303">
        <f t="shared" si="2"/>
        <v>7840</v>
      </c>
      <c r="J42" s="277"/>
      <c r="L42" s="284" t="s">
        <v>9</v>
      </c>
    </row>
    <row r="43" spans="1:14" s="283" customFormat="1" ht="20.100000000000001" customHeight="1">
      <c r="A43" s="278"/>
      <c r="B43" s="279"/>
      <c r="C43" s="299"/>
      <c r="D43" s="274"/>
      <c r="E43" s="289"/>
      <c r="F43" s="281"/>
      <c r="G43" s="281"/>
      <c r="H43" s="281"/>
      <c r="I43" s="276"/>
      <c r="J43" s="277"/>
      <c r="L43" s="284" t="s">
        <v>9</v>
      </c>
    </row>
    <row r="44" spans="1:14" s="283" customFormat="1" ht="20.100000000000001" customHeight="1">
      <c r="A44" s="278"/>
      <c r="B44" s="279"/>
      <c r="C44" s="299"/>
      <c r="D44" s="274"/>
      <c r="E44" s="289"/>
      <c r="F44" s="281"/>
      <c r="G44" s="281"/>
      <c r="H44" s="281"/>
      <c r="I44" s="276"/>
      <c r="J44" s="277"/>
      <c r="L44" s="284"/>
      <c r="N44" s="283" t="s">
        <v>9</v>
      </c>
    </row>
    <row r="45" spans="1:14" s="283" customFormat="1" ht="20.100000000000001" customHeight="1">
      <c r="A45" s="278"/>
      <c r="B45" s="279"/>
      <c r="C45" s="299"/>
      <c r="D45" s="274"/>
      <c r="E45" s="289"/>
      <c r="F45" s="281"/>
      <c r="G45" s="281"/>
      <c r="H45" s="281"/>
      <c r="I45" s="276"/>
      <c r="J45" s="277"/>
      <c r="L45" s="284"/>
    </row>
    <row r="46" spans="1:14" s="267" customFormat="1" ht="20.100000000000001" customHeight="1">
      <c r="A46" s="460"/>
      <c r="B46" s="288" t="s">
        <v>18</v>
      </c>
      <c r="C46" s="285"/>
      <c r="D46" s="274"/>
      <c r="E46" s="289"/>
      <c r="F46" s="290">
        <f>SUM(F30:F45)</f>
        <v>60006.2</v>
      </c>
      <c r="G46" s="291"/>
      <c r="H46" s="290">
        <f>SUM(H30:H43)</f>
        <v>6212.5</v>
      </c>
      <c r="I46" s="276"/>
      <c r="J46" s="277"/>
      <c r="K46" s="286">
        <f>+H46+F46</f>
        <v>66218.7</v>
      </c>
      <c r="L46" s="196"/>
    </row>
    <row r="47" spans="1:14" s="267" customFormat="1" ht="20.100000000000001" customHeight="1">
      <c r="A47" s="460"/>
      <c r="B47" s="278" t="s">
        <v>86</v>
      </c>
      <c r="C47" s="285"/>
      <c r="D47" s="274"/>
      <c r="E47" s="289"/>
      <c r="F47" s="281"/>
      <c r="G47" s="291"/>
      <c r="H47" s="292"/>
      <c r="I47" s="423">
        <f>SUM(I30:I45)</f>
        <v>66218.7</v>
      </c>
      <c r="J47" s="277"/>
      <c r="K47" s="286"/>
      <c r="L47" s="196"/>
    </row>
    <row r="48" spans="1:14" s="267" customFormat="1" ht="18.95" customHeight="1">
      <c r="A48" s="411"/>
      <c r="B48" s="462" t="s">
        <v>577</v>
      </c>
      <c r="C48" s="447"/>
      <c r="D48" s="415"/>
      <c r="E48" s="448"/>
      <c r="F48" s="448"/>
      <c r="G48" s="448"/>
      <c r="H48" s="449"/>
      <c r="I48" s="450"/>
      <c r="J48" s="272"/>
      <c r="L48" s="196"/>
    </row>
    <row r="49" spans="1:13" s="283" customFormat="1" ht="18.95" customHeight="1">
      <c r="A49" s="278"/>
      <c r="B49" s="377" t="s">
        <v>629</v>
      </c>
      <c r="C49" s="299"/>
      <c r="D49" s="274"/>
      <c r="E49" s="289"/>
      <c r="F49" s="281"/>
      <c r="G49" s="281"/>
      <c r="H49" s="281"/>
      <c r="I49" s="466"/>
      <c r="J49" s="277"/>
      <c r="L49" s="284"/>
    </row>
    <row r="50" spans="1:13" s="283" customFormat="1" ht="18.95" customHeight="1">
      <c r="A50" s="278"/>
      <c r="B50" s="279" t="s">
        <v>625</v>
      </c>
      <c r="C50" s="296">
        <v>1</v>
      </c>
      <c r="D50" s="296" t="s">
        <v>297</v>
      </c>
      <c r="E50" s="441">
        <v>2500</v>
      </c>
      <c r="F50" s="441">
        <f>SUM(E50*C50)</f>
        <v>2500</v>
      </c>
      <c r="G50" s="648" t="s">
        <v>459</v>
      </c>
      <c r="H50" s="649"/>
      <c r="I50" s="303">
        <f>SUM(H50+F50)</f>
        <v>2500</v>
      </c>
      <c r="J50" s="277"/>
      <c r="L50" s="284"/>
    </row>
    <row r="51" spans="1:13" s="283" customFormat="1" ht="18.95" customHeight="1">
      <c r="A51" s="278"/>
      <c r="B51" s="279" t="s">
        <v>621</v>
      </c>
      <c r="C51" s="296">
        <v>1.5</v>
      </c>
      <c r="D51" s="296" t="s">
        <v>288</v>
      </c>
      <c r="E51" s="441">
        <v>453.9</v>
      </c>
      <c r="F51" s="441">
        <f>SUM(E51*C51)</f>
        <v>680.84999999999991</v>
      </c>
      <c r="G51" s="441">
        <v>250</v>
      </c>
      <c r="H51" s="441">
        <f>SUM(G51*C51)</f>
        <v>375</v>
      </c>
      <c r="I51" s="303">
        <f>SUM(H51+F51)</f>
        <v>1055.8499999999999</v>
      </c>
      <c r="J51" s="277"/>
      <c r="L51" s="284"/>
    </row>
    <row r="52" spans="1:13" s="283" customFormat="1" ht="18.95" customHeight="1">
      <c r="A52" s="278"/>
      <c r="B52" s="279" t="s">
        <v>620</v>
      </c>
      <c r="C52" s="296">
        <v>1</v>
      </c>
      <c r="D52" s="296" t="s">
        <v>128</v>
      </c>
      <c r="E52" s="441">
        <v>16340</v>
      </c>
      <c r="F52" s="441">
        <f>SUM(E52*C52)</f>
        <v>16340</v>
      </c>
      <c r="G52" s="441">
        <v>800</v>
      </c>
      <c r="H52" s="441">
        <f>SUM(G52*C52)</f>
        <v>800</v>
      </c>
      <c r="I52" s="303">
        <f>SUM(H52+F52)</f>
        <v>17140</v>
      </c>
      <c r="J52" s="277"/>
      <c r="L52" s="284"/>
    </row>
    <row r="53" spans="1:13" s="283" customFormat="1" ht="18.95" customHeight="1">
      <c r="A53" s="278"/>
      <c r="B53" s="277" t="s">
        <v>622</v>
      </c>
      <c r="C53" s="467">
        <v>2</v>
      </c>
      <c r="D53" s="296" t="s">
        <v>128</v>
      </c>
      <c r="E53" s="443">
        <v>3120</v>
      </c>
      <c r="F53" s="443">
        <f>SUM(E53*C53)</f>
        <v>6240</v>
      </c>
      <c r="G53" s="441">
        <v>800</v>
      </c>
      <c r="H53" s="441">
        <f>SUM(G53*C53)</f>
        <v>1600</v>
      </c>
      <c r="I53" s="303">
        <f>SUM(H53+F53)</f>
        <v>7840</v>
      </c>
      <c r="J53" s="277"/>
      <c r="L53" s="284"/>
    </row>
    <row r="54" spans="1:13" s="283" customFormat="1" ht="18.95" customHeight="1">
      <c r="A54" s="278"/>
      <c r="B54" s="468"/>
      <c r="C54" s="468"/>
      <c r="D54" s="468"/>
      <c r="E54" s="468"/>
      <c r="F54" s="468"/>
      <c r="G54" s="468"/>
      <c r="H54" s="468"/>
      <c r="I54" s="468"/>
      <c r="J54" s="277"/>
      <c r="L54" s="284"/>
    </row>
    <row r="55" spans="1:13" s="283" customFormat="1" ht="18.95" customHeight="1">
      <c r="A55" s="278"/>
      <c r="B55" s="277" t="s">
        <v>630</v>
      </c>
      <c r="C55" s="389">
        <v>2</v>
      </c>
      <c r="D55" s="296" t="s">
        <v>19</v>
      </c>
      <c r="E55" s="441">
        <v>1250</v>
      </c>
      <c r="F55" s="441">
        <f>SUM(E55*C55)</f>
        <v>2500</v>
      </c>
      <c r="G55" s="648" t="s">
        <v>459</v>
      </c>
      <c r="H55" s="649"/>
      <c r="I55" s="303">
        <f>SUM(H55+F55)</f>
        <v>2500</v>
      </c>
      <c r="J55" s="277"/>
      <c r="L55" s="284"/>
    </row>
    <row r="56" spans="1:13" s="283" customFormat="1" ht="18.95" customHeight="1">
      <c r="A56" s="278"/>
      <c r="B56" s="277" t="s">
        <v>631</v>
      </c>
      <c r="C56" s="389">
        <v>134</v>
      </c>
      <c r="D56" s="296" t="s">
        <v>125</v>
      </c>
      <c r="E56" s="442" t="s">
        <v>124</v>
      </c>
      <c r="F56" s="442" t="s">
        <v>124</v>
      </c>
      <c r="G56" s="441">
        <v>99</v>
      </c>
      <c r="H56" s="441">
        <f>SUM(G56*C56)</f>
        <v>13266</v>
      </c>
      <c r="I56" s="303">
        <f>SUM(H56)</f>
        <v>13266</v>
      </c>
      <c r="J56" s="277"/>
      <c r="L56" s="284"/>
    </row>
    <row r="57" spans="1:13" s="283" customFormat="1" ht="18.95" customHeight="1">
      <c r="A57" s="278"/>
      <c r="B57" s="277" t="s">
        <v>303</v>
      </c>
      <c r="C57" s="389">
        <v>45</v>
      </c>
      <c r="D57" s="296" t="s">
        <v>125</v>
      </c>
      <c r="E57" s="441">
        <v>537</v>
      </c>
      <c r="F57" s="441">
        <f>SUM(E57*C57)</f>
        <v>24165</v>
      </c>
      <c r="G57" s="441">
        <v>91</v>
      </c>
      <c r="H57" s="441">
        <f>SUM(G57*C57)</f>
        <v>4095</v>
      </c>
      <c r="I57" s="303">
        <f>SUM(H57+F57)</f>
        <v>28260</v>
      </c>
      <c r="J57" s="277"/>
      <c r="L57" s="284"/>
    </row>
    <row r="58" spans="1:13" s="283" customFormat="1" ht="18.95" customHeight="1">
      <c r="A58" s="278"/>
      <c r="B58" s="279" t="s">
        <v>632</v>
      </c>
      <c r="C58" s="296">
        <v>1</v>
      </c>
      <c r="D58" s="296" t="s">
        <v>19</v>
      </c>
      <c r="E58" s="441">
        <v>1500</v>
      </c>
      <c r="F58" s="441">
        <f>SUM(E58*C58)</f>
        <v>1500</v>
      </c>
      <c r="G58" s="648" t="s">
        <v>459</v>
      </c>
      <c r="H58" s="649"/>
      <c r="I58" s="303">
        <f>SUM(H58+F58)</f>
        <v>1500</v>
      </c>
      <c r="J58" s="277"/>
      <c r="L58" s="284"/>
    </row>
    <row r="59" spans="1:13" s="283" customFormat="1" ht="18.95" customHeight="1">
      <c r="A59" s="278"/>
      <c r="B59" s="489"/>
      <c r="C59" s="389"/>
      <c r="D59" s="296"/>
      <c r="E59" s="441"/>
      <c r="F59" s="441"/>
      <c r="G59" s="442"/>
      <c r="H59" s="442"/>
      <c r="I59" s="303"/>
      <c r="J59" s="277"/>
      <c r="L59" s="284"/>
    </row>
    <row r="60" spans="1:13" s="283" customFormat="1" ht="18.95" customHeight="1">
      <c r="A60" s="278"/>
      <c r="B60" s="489"/>
      <c r="C60" s="389"/>
      <c r="D60" s="296"/>
      <c r="E60" s="441"/>
      <c r="F60" s="441"/>
      <c r="G60" s="442"/>
      <c r="H60" s="442"/>
      <c r="I60" s="303"/>
      <c r="J60" s="277"/>
      <c r="L60" s="284"/>
    </row>
    <row r="61" spans="1:13" s="283" customFormat="1" ht="18.95" customHeight="1">
      <c r="A61" s="278"/>
      <c r="B61" s="489"/>
      <c r="C61" s="389"/>
      <c r="D61" s="296"/>
      <c r="E61" s="441"/>
      <c r="F61" s="441"/>
      <c r="G61" s="442"/>
      <c r="H61" s="442"/>
      <c r="I61" s="303"/>
      <c r="J61" s="277"/>
      <c r="L61" s="284"/>
      <c r="M61" s="283" t="s">
        <v>9</v>
      </c>
    </row>
    <row r="62" spans="1:13" s="283" customFormat="1" ht="18.95" customHeight="1">
      <c r="A62" s="278"/>
      <c r="B62" s="277"/>
      <c r="C62" s="389"/>
      <c r="D62" s="296"/>
      <c r="E62" s="388"/>
      <c r="F62" s="388"/>
      <c r="G62" s="442"/>
      <c r="H62" s="442"/>
      <c r="I62" s="303"/>
      <c r="J62" s="277"/>
      <c r="L62" s="284"/>
    </row>
    <row r="63" spans="1:13" s="283" customFormat="1" ht="18.95" customHeight="1">
      <c r="A63" s="278"/>
      <c r="B63" s="391"/>
      <c r="C63" s="392"/>
      <c r="D63" s="392"/>
      <c r="E63" s="443"/>
      <c r="F63" s="443"/>
      <c r="G63" s="443"/>
      <c r="H63" s="443"/>
      <c r="I63" s="437"/>
      <c r="J63" s="277"/>
      <c r="L63" s="284" t="s">
        <v>9</v>
      </c>
    </row>
    <row r="64" spans="1:13" s="283" customFormat="1" ht="18.95" customHeight="1">
      <c r="A64" s="278"/>
      <c r="B64" s="277"/>
      <c r="C64" s="389"/>
      <c r="D64" s="296"/>
      <c r="E64" s="388"/>
      <c r="F64" s="388"/>
      <c r="G64" s="443"/>
      <c r="H64" s="443"/>
      <c r="I64" s="303"/>
      <c r="J64" s="277"/>
      <c r="L64" s="284"/>
    </row>
    <row r="65" spans="1:12" s="283" customFormat="1" ht="18.95" customHeight="1">
      <c r="A65" s="278"/>
      <c r="B65" s="277"/>
      <c r="C65" s="389"/>
      <c r="D65" s="296"/>
      <c r="E65" s="388"/>
      <c r="F65" s="388"/>
      <c r="G65" s="443"/>
      <c r="H65" s="443"/>
      <c r="I65" s="303"/>
      <c r="J65" s="277"/>
      <c r="L65" s="284"/>
    </row>
    <row r="66" spans="1:12" s="283" customFormat="1" ht="18.95" customHeight="1">
      <c r="A66" s="278"/>
      <c r="B66" s="279"/>
      <c r="C66" s="299"/>
      <c r="D66" s="274"/>
      <c r="E66" s="289"/>
      <c r="F66" s="281"/>
      <c r="G66" s="281"/>
      <c r="H66" s="281"/>
      <c r="I66" s="276"/>
      <c r="J66" s="277"/>
      <c r="L66" s="284"/>
    </row>
    <row r="67" spans="1:12" s="267" customFormat="1" ht="18.95" customHeight="1">
      <c r="A67" s="460"/>
      <c r="B67" s="288" t="s">
        <v>18</v>
      </c>
      <c r="C67" s="285"/>
      <c r="D67" s="274"/>
      <c r="E67" s="289"/>
      <c r="F67" s="290">
        <f>SUM(F49:F66)</f>
        <v>53925.85</v>
      </c>
      <c r="G67" s="291"/>
      <c r="H67" s="290">
        <f>SUM(H51+H52+H53+H56+H57)</f>
        <v>20136</v>
      </c>
      <c r="I67" s="276"/>
      <c r="J67" s="277"/>
      <c r="K67" s="286">
        <f>+H67+F67</f>
        <v>74061.850000000006</v>
      </c>
      <c r="L67" s="196"/>
    </row>
    <row r="68" spans="1:12" s="267" customFormat="1" ht="18.95" customHeight="1">
      <c r="A68" s="460"/>
      <c r="B68" s="278" t="s">
        <v>86</v>
      </c>
      <c r="C68" s="285"/>
      <c r="D68" s="274"/>
      <c r="E68" s="289"/>
      <c r="F68" s="281"/>
      <c r="G68" s="291"/>
      <c r="H68" s="292"/>
      <c r="I68" s="423">
        <f>SUM(I49:I66)</f>
        <v>74061.850000000006</v>
      </c>
      <c r="J68" s="277"/>
      <c r="K68" s="286"/>
      <c r="L68" s="196"/>
    </row>
    <row r="69" spans="1:12" s="267" customFormat="1" ht="20.100000000000001" customHeight="1">
      <c r="A69" s="411"/>
      <c r="B69" s="462" t="s">
        <v>633</v>
      </c>
      <c r="C69" s="277"/>
      <c r="D69" s="277"/>
      <c r="E69" s="277"/>
      <c r="F69" s="277"/>
      <c r="G69" s="277"/>
      <c r="H69" s="277"/>
      <c r="I69" s="277"/>
      <c r="J69" s="272"/>
      <c r="L69" s="196"/>
    </row>
    <row r="70" spans="1:12" s="283" customFormat="1" ht="20.100000000000001" customHeight="1">
      <c r="A70" s="278"/>
      <c r="B70" s="377" t="s">
        <v>634</v>
      </c>
      <c r="C70" s="277"/>
      <c r="D70" s="277"/>
      <c r="E70" s="277"/>
      <c r="F70" s="277"/>
      <c r="G70" s="277"/>
      <c r="H70" s="277"/>
      <c r="I70" s="277"/>
      <c r="J70" s="277"/>
      <c r="L70" s="284"/>
    </row>
    <row r="71" spans="1:12" s="283" customFormat="1" ht="20.100000000000001" customHeight="1">
      <c r="A71" s="278"/>
      <c r="B71" s="279" t="s">
        <v>635</v>
      </c>
      <c r="C71" s="296">
        <v>2</v>
      </c>
      <c r="D71" s="296" t="s">
        <v>288</v>
      </c>
      <c r="E71" s="441">
        <v>693</v>
      </c>
      <c r="F71" s="441">
        <f t="shared" ref="F71:F81" si="3">SUM(E71*C71)</f>
        <v>1386</v>
      </c>
      <c r="G71" s="441">
        <v>280</v>
      </c>
      <c r="H71" s="441">
        <f>SUM(G71*C71)</f>
        <v>560</v>
      </c>
      <c r="I71" s="303">
        <f>SUM(H71+F71)</f>
        <v>1946</v>
      </c>
      <c r="J71" s="277"/>
      <c r="L71" s="284"/>
    </row>
    <row r="72" spans="1:12" s="283" customFormat="1" ht="20.100000000000001" customHeight="1">
      <c r="A72" s="278"/>
      <c r="B72" s="277" t="s">
        <v>636</v>
      </c>
      <c r="C72" s="467">
        <v>1</v>
      </c>
      <c r="D72" s="296" t="s">
        <v>128</v>
      </c>
      <c r="E72" s="443">
        <v>2750</v>
      </c>
      <c r="F72" s="443">
        <f t="shared" si="3"/>
        <v>2750</v>
      </c>
      <c r="G72" s="390" t="s">
        <v>124</v>
      </c>
      <c r="H72" s="390" t="s">
        <v>124</v>
      </c>
      <c r="I72" s="437">
        <f>SUM(F72)</f>
        <v>2750</v>
      </c>
      <c r="J72" s="277"/>
      <c r="L72" s="284" t="s">
        <v>9</v>
      </c>
    </row>
    <row r="73" spans="1:12" s="283" customFormat="1" ht="20.100000000000001" customHeight="1">
      <c r="A73" s="278"/>
      <c r="B73" s="277" t="s">
        <v>637</v>
      </c>
      <c r="C73" s="467">
        <v>1</v>
      </c>
      <c r="D73" s="296" t="s">
        <v>296</v>
      </c>
      <c r="E73" s="443">
        <v>280</v>
      </c>
      <c r="F73" s="443">
        <f t="shared" si="3"/>
        <v>280</v>
      </c>
      <c r="G73" s="390" t="s">
        <v>124</v>
      </c>
      <c r="H73" s="390" t="s">
        <v>124</v>
      </c>
      <c r="I73" s="437">
        <f>SUM(F73)</f>
        <v>280</v>
      </c>
      <c r="J73" s="277"/>
      <c r="L73" s="284"/>
    </row>
    <row r="74" spans="1:12" s="283" customFormat="1" ht="20.100000000000001" customHeight="1">
      <c r="A74" s="278"/>
      <c r="B74" s="277" t="s">
        <v>638</v>
      </c>
      <c r="C74" s="467">
        <v>1</v>
      </c>
      <c r="D74" s="296" t="s">
        <v>296</v>
      </c>
      <c r="E74" s="443">
        <v>950</v>
      </c>
      <c r="F74" s="443">
        <f t="shared" si="3"/>
        <v>950</v>
      </c>
      <c r="G74" s="390" t="s">
        <v>124</v>
      </c>
      <c r="H74" s="390" t="s">
        <v>124</v>
      </c>
      <c r="I74" s="437">
        <f>SUM(F74)</f>
        <v>950</v>
      </c>
      <c r="J74" s="277"/>
      <c r="L74" s="284"/>
    </row>
    <row r="75" spans="1:12" s="283" customFormat="1" ht="20.100000000000001" customHeight="1">
      <c r="A75" s="278"/>
      <c r="B75" s="279" t="s">
        <v>620</v>
      </c>
      <c r="C75" s="296">
        <v>1</v>
      </c>
      <c r="D75" s="296" t="s">
        <v>128</v>
      </c>
      <c r="E75" s="441">
        <v>16340</v>
      </c>
      <c r="F75" s="441">
        <f t="shared" si="3"/>
        <v>16340</v>
      </c>
      <c r="G75" s="441">
        <v>800</v>
      </c>
      <c r="H75" s="441">
        <f>SUM(G75*C75)</f>
        <v>800</v>
      </c>
      <c r="I75" s="303">
        <f>SUM(H75+F75)</f>
        <v>17140</v>
      </c>
      <c r="J75" s="277"/>
      <c r="L75" s="284"/>
    </row>
    <row r="76" spans="1:12" s="283" customFormat="1" ht="20.100000000000001" customHeight="1">
      <c r="A76" s="278"/>
      <c r="B76" s="277" t="s">
        <v>639</v>
      </c>
      <c r="C76" s="296">
        <v>1</v>
      </c>
      <c r="D76" s="296" t="s">
        <v>296</v>
      </c>
      <c r="E76" s="441">
        <v>2400</v>
      </c>
      <c r="F76" s="441">
        <f t="shared" si="3"/>
        <v>2400</v>
      </c>
      <c r="G76" s="390" t="s">
        <v>124</v>
      </c>
      <c r="H76" s="390" t="s">
        <v>124</v>
      </c>
      <c r="I76" s="437">
        <f>SUM(F76)</f>
        <v>2400</v>
      </c>
      <c r="J76" s="277"/>
      <c r="L76" s="284"/>
    </row>
    <row r="77" spans="1:12" s="283" customFormat="1" ht="20.100000000000001" customHeight="1">
      <c r="A77" s="278"/>
      <c r="B77" s="277" t="s">
        <v>640</v>
      </c>
      <c r="C77" s="296">
        <v>1</v>
      </c>
      <c r="D77" s="296" t="s">
        <v>296</v>
      </c>
      <c r="E77" s="441">
        <v>2900</v>
      </c>
      <c r="F77" s="441">
        <f t="shared" si="3"/>
        <v>2900</v>
      </c>
      <c r="G77" s="390" t="s">
        <v>124</v>
      </c>
      <c r="H77" s="390" t="s">
        <v>124</v>
      </c>
      <c r="I77" s="437">
        <f>SUM(F77)</f>
        <v>2900</v>
      </c>
      <c r="J77" s="277"/>
      <c r="L77" s="284"/>
    </row>
    <row r="78" spans="1:12" s="283" customFormat="1" ht="20.100000000000001" customHeight="1">
      <c r="A78" s="278"/>
      <c r="B78" s="277" t="s">
        <v>641</v>
      </c>
      <c r="C78" s="296">
        <v>2</v>
      </c>
      <c r="D78" s="296" t="s">
        <v>296</v>
      </c>
      <c r="E78" s="441">
        <v>1640</v>
      </c>
      <c r="F78" s="441">
        <f t="shared" si="3"/>
        <v>3280</v>
      </c>
      <c r="G78" s="390" t="s">
        <v>124</v>
      </c>
      <c r="H78" s="390" t="s">
        <v>124</v>
      </c>
      <c r="I78" s="437">
        <f>SUM(F78)</f>
        <v>3280</v>
      </c>
      <c r="J78" s="277"/>
      <c r="L78" s="284"/>
    </row>
    <row r="79" spans="1:12" s="283" customFormat="1" ht="20.100000000000001" customHeight="1">
      <c r="A79" s="278"/>
      <c r="B79" s="277" t="s">
        <v>642</v>
      </c>
      <c r="C79" s="296">
        <v>1</v>
      </c>
      <c r="D79" s="296" t="s">
        <v>19</v>
      </c>
      <c r="E79" s="441">
        <v>950</v>
      </c>
      <c r="F79" s="441">
        <f t="shared" si="3"/>
        <v>950</v>
      </c>
      <c r="G79" s="648" t="s">
        <v>459</v>
      </c>
      <c r="H79" s="649"/>
      <c r="I79" s="303">
        <f>SUM(H79+F79)</f>
        <v>950</v>
      </c>
      <c r="J79" s="277"/>
      <c r="L79" s="284"/>
    </row>
    <row r="80" spans="1:12" s="283" customFormat="1" ht="20.100000000000001" customHeight="1">
      <c r="A80" s="278"/>
      <c r="B80" s="277" t="s">
        <v>643</v>
      </c>
      <c r="C80" s="296">
        <v>1</v>
      </c>
      <c r="D80" s="296" t="s">
        <v>19</v>
      </c>
      <c r="E80" s="441">
        <v>750</v>
      </c>
      <c r="F80" s="441">
        <f t="shared" si="3"/>
        <v>750</v>
      </c>
      <c r="G80" s="648" t="s">
        <v>459</v>
      </c>
      <c r="H80" s="649"/>
      <c r="I80" s="303">
        <f>SUM(H80+F80)</f>
        <v>750</v>
      </c>
      <c r="J80" s="277"/>
      <c r="L80" s="284"/>
    </row>
    <row r="81" spans="1:14" s="283" customFormat="1" ht="20.100000000000001" customHeight="1">
      <c r="A81" s="278"/>
      <c r="B81" s="277" t="s">
        <v>644</v>
      </c>
      <c r="C81" s="296">
        <v>1</v>
      </c>
      <c r="D81" s="296" t="s">
        <v>19</v>
      </c>
      <c r="E81" s="441">
        <v>500</v>
      </c>
      <c r="F81" s="441">
        <f t="shared" si="3"/>
        <v>500</v>
      </c>
      <c r="G81" s="648" t="s">
        <v>459</v>
      </c>
      <c r="H81" s="649"/>
      <c r="I81" s="303">
        <f>SUM(H81+F81)</f>
        <v>500</v>
      </c>
      <c r="J81" s="277"/>
      <c r="L81" s="284"/>
    </row>
    <row r="82" spans="1:14" s="283" customFormat="1" ht="20.100000000000001" customHeight="1">
      <c r="A82" s="278"/>
      <c r="B82" s="277"/>
      <c r="C82" s="389"/>
      <c r="D82" s="296"/>
      <c r="E82" s="441"/>
      <c r="F82" s="441"/>
      <c r="G82" s="648"/>
      <c r="H82" s="649"/>
      <c r="I82" s="303"/>
      <c r="J82" s="277"/>
      <c r="L82" s="284"/>
    </row>
    <row r="83" spans="1:14" s="283" customFormat="1" ht="20.100000000000001" customHeight="1">
      <c r="A83" s="278"/>
      <c r="B83" s="277"/>
      <c r="C83" s="389"/>
      <c r="D83" s="296"/>
      <c r="E83" s="441"/>
      <c r="F83" s="441"/>
      <c r="G83" s="648"/>
      <c r="H83" s="649"/>
      <c r="I83" s="303"/>
      <c r="J83" s="277"/>
      <c r="L83" s="284"/>
    </row>
    <row r="84" spans="1:14" s="283" customFormat="1" ht="20.100000000000001" customHeight="1">
      <c r="A84" s="278"/>
      <c r="B84" s="279"/>
      <c r="C84" s="299"/>
      <c r="D84" s="274"/>
      <c r="E84" s="289"/>
      <c r="F84" s="281"/>
      <c r="G84" s="281"/>
      <c r="H84" s="281"/>
      <c r="I84" s="276"/>
      <c r="J84" s="277"/>
      <c r="L84" s="284"/>
    </row>
    <row r="85" spans="1:14" s="283" customFormat="1" ht="20.100000000000001" customHeight="1">
      <c r="A85" s="278"/>
      <c r="B85" s="279"/>
      <c r="C85" s="299"/>
      <c r="D85" s="274"/>
      <c r="E85" s="289"/>
      <c r="F85" s="281"/>
      <c r="G85" s="281"/>
      <c r="H85" s="281"/>
      <c r="I85" s="276"/>
      <c r="J85" s="277"/>
      <c r="L85" s="284"/>
    </row>
    <row r="86" spans="1:14" s="283" customFormat="1" ht="20.100000000000001" customHeight="1">
      <c r="A86" s="278"/>
      <c r="B86" s="279"/>
      <c r="C86" s="299"/>
      <c r="D86" s="274"/>
      <c r="E86" s="289"/>
      <c r="F86" s="281"/>
      <c r="G86" s="281"/>
      <c r="H86" s="281"/>
      <c r="I86" s="276"/>
      <c r="J86" s="277"/>
      <c r="L86" s="284"/>
    </row>
    <row r="87" spans="1:14" s="267" customFormat="1" ht="20.100000000000001" customHeight="1">
      <c r="A87" s="460"/>
      <c r="B87" s="288" t="s">
        <v>18</v>
      </c>
      <c r="C87" s="285"/>
      <c r="D87" s="274"/>
      <c r="E87" s="289"/>
      <c r="F87" s="290">
        <f>SUM(F70:F86)</f>
        <v>32486</v>
      </c>
      <c r="G87" s="291"/>
      <c r="H87" s="290">
        <f>SUM(H70:H78)</f>
        <v>1360</v>
      </c>
      <c r="I87" s="276"/>
      <c r="J87" s="277"/>
      <c r="K87" s="286">
        <f>+H87+F87</f>
        <v>33846</v>
      </c>
      <c r="L87" s="196"/>
    </row>
    <row r="88" spans="1:14" s="267" customFormat="1" ht="20.100000000000001" customHeight="1">
      <c r="A88" s="460"/>
      <c r="B88" s="278" t="s">
        <v>86</v>
      </c>
      <c r="C88" s="285"/>
      <c r="D88" s="274"/>
      <c r="E88" s="289"/>
      <c r="F88" s="281"/>
      <c r="G88" s="291"/>
      <c r="H88" s="292"/>
      <c r="I88" s="423">
        <f>SUM(I70:I86)</f>
        <v>33846</v>
      </c>
      <c r="J88" s="277"/>
      <c r="K88" s="286"/>
      <c r="L88" s="196"/>
    </row>
    <row r="89" spans="1:14" s="267" customFormat="1" ht="20.100000000000001" customHeight="1">
      <c r="A89" s="411"/>
      <c r="B89" s="462" t="s">
        <v>578</v>
      </c>
      <c r="C89" s="277"/>
      <c r="D89" s="277"/>
      <c r="E89" s="277"/>
      <c r="F89" s="277"/>
      <c r="G89" s="277"/>
      <c r="H89" s="277"/>
      <c r="I89" s="277"/>
      <c r="J89" s="272"/>
      <c r="L89" s="196"/>
    </row>
    <row r="90" spans="1:14" s="283" customFormat="1" ht="20.100000000000001" customHeight="1">
      <c r="A90" s="278"/>
      <c r="B90" s="377" t="s">
        <v>645</v>
      </c>
      <c r="C90" s="277"/>
      <c r="D90" s="277"/>
      <c r="E90" s="277"/>
      <c r="F90" s="277"/>
      <c r="G90" s="277"/>
      <c r="H90" s="277"/>
      <c r="I90" s="277"/>
      <c r="J90" s="277"/>
      <c r="L90" s="284"/>
    </row>
    <row r="91" spans="1:14" s="283" customFormat="1" ht="20.100000000000001" customHeight="1">
      <c r="A91" s="278"/>
      <c r="B91" s="277" t="s">
        <v>646</v>
      </c>
      <c r="C91" s="389">
        <v>193</v>
      </c>
      <c r="D91" s="296" t="s">
        <v>127</v>
      </c>
      <c r="E91" s="441">
        <v>514</v>
      </c>
      <c r="F91" s="441">
        <f>SUM(E91*C91)</f>
        <v>99202</v>
      </c>
      <c r="G91" s="442" t="s">
        <v>124</v>
      </c>
      <c r="H91" s="442" t="s">
        <v>124</v>
      </c>
      <c r="I91" s="437">
        <f>SUM(F91)</f>
        <v>99202</v>
      </c>
      <c r="J91" s="277"/>
      <c r="L91" s="284"/>
    </row>
    <row r="92" spans="1:14" s="283" customFormat="1" ht="20.100000000000001" customHeight="1">
      <c r="A92" s="278"/>
      <c r="B92" s="277" t="s">
        <v>647</v>
      </c>
      <c r="C92" s="389">
        <v>156</v>
      </c>
      <c r="D92" s="296" t="s">
        <v>127</v>
      </c>
      <c r="E92" s="441">
        <v>673</v>
      </c>
      <c r="F92" s="441">
        <f>SUM(E92*C92)</f>
        <v>104988</v>
      </c>
      <c r="G92" s="442" t="s">
        <v>124</v>
      </c>
      <c r="H92" s="442" t="s">
        <v>124</v>
      </c>
      <c r="I92" s="437">
        <f>SUM(F92)</f>
        <v>104988</v>
      </c>
      <c r="J92" s="277"/>
      <c r="L92" s="284"/>
    </row>
    <row r="93" spans="1:14" s="283" customFormat="1" ht="20.100000000000001" customHeight="1">
      <c r="A93" s="278"/>
      <c r="B93" s="277" t="s">
        <v>648</v>
      </c>
      <c r="C93" s="389">
        <v>15</v>
      </c>
      <c r="D93" s="296" t="s">
        <v>127</v>
      </c>
      <c r="E93" s="441">
        <v>873</v>
      </c>
      <c r="F93" s="441">
        <f>SUM(E93*C93)</f>
        <v>13095</v>
      </c>
      <c r="G93" s="442" t="s">
        <v>124</v>
      </c>
      <c r="H93" s="442" t="s">
        <v>124</v>
      </c>
      <c r="I93" s="437">
        <f>SUM(F93)</f>
        <v>13095</v>
      </c>
      <c r="J93" s="277"/>
      <c r="L93" s="284"/>
    </row>
    <row r="94" spans="1:14" s="283" customFormat="1" ht="20.100000000000001" customHeight="1">
      <c r="A94" s="278"/>
      <c r="B94" s="377" t="s">
        <v>649</v>
      </c>
      <c r="C94" s="277"/>
      <c r="D94" s="277"/>
      <c r="E94" s="277"/>
      <c r="F94" s="277"/>
      <c r="G94" s="277"/>
      <c r="H94" s="277"/>
      <c r="I94" s="277"/>
      <c r="J94" s="277"/>
      <c r="L94" s="284"/>
    </row>
    <row r="95" spans="1:14" s="283" customFormat="1" ht="20.100000000000001" customHeight="1">
      <c r="A95" s="278"/>
      <c r="B95" s="277" t="s">
        <v>650</v>
      </c>
      <c r="C95" s="389">
        <v>1</v>
      </c>
      <c r="D95" s="296" t="s">
        <v>19</v>
      </c>
      <c r="E95" s="441">
        <v>54000</v>
      </c>
      <c r="F95" s="441">
        <f>SUM(E95*C95)</f>
        <v>54000</v>
      </c>
      <c r="G95" s="648" t="s">
        <v>459</v>
      </c>
      <c r="H95" s="649"/>
      <c r="I95" s="303">
        <f>SUM(H95+F95)</f>
        <v>54000</v>
      </c>
      <c r="J95" s="277"/>
      <c r="L95" s="284"/>
      <c r="N95" s="283" t="s">
        <v>9</v>
      </c>
    </row>
    <row r="96" spans="1:14" s="283" customFormat="1" ht="20.100000000000001" customHeight="1">
      <c r="A96" s="278"/>
      <c r="B96" s="377" t="s">
        <v>651</v>
      </c>
      <c r="C96" s="468"/>
      <c r="D96" s="468"/>
      <c r="E96" s="468"/>
      <c r="F96" s="468"/>
      <c r="G96" s="468"/>
      <c r="H96" s="468"/>
      <c r="I96" s="468"/>
      <c r="J96" s="277"/>
      <c r="L96" s="284"/>
    </row>
    <row r="97" spans="1:13" s="283" customFormat="1" ht="20.100000000000001" customHeight="1">
      <c r="A97" s="278"/>
      <c r="B97" s="277" t="s">
        <v>652</v>
      </c>
      <c r="C97" s="468"/>
      <c r="D97" s="468"/>
      <c r="E97" s="468"/>
      <c r="F97" s="468"/>
      <c r="G97" s="468"/>
      <c r="H97" s="468"/>
      <c r="I97" s="468"/>
      <c r="J97" s="277"/>
      <c r="L97" s="284"/>
    </row>
    <row r="98" spans="1:13" s="283" customFormat="1" ht="20.100000000000001" customHeight="1">
      <c r="A98" s="278"/>
      <c r="B98" s="277" t="s">
        <v>653</v>
      </c>
      <c r="C98" s="389">
        <v>3</v>
      </c>
      <c r="D98" s="296" t="s">
        <v>297</v>
      </c>
      <c r="E98" s="441">
        <v>19800</v>
      </c>
      <c r="F98" s="441">
        <f>SUM(E98*C98)</f>
        <v>59400</v>
      </c>
      <c r="G98" s="648" t="s">
        <v>459</v>
      </c>
      <c r="H98" s="649"/>
      <c r="I98" s="303">
        <f>SUM(H98+F98)</f>
        <v>59400</v>
      </c>
      <c r="J98" s="277"/>
      <c r="L98" s="284"/>
    </row>
    <row r="99" spans="1:13" s="283" customFormat="1" ht="20.100000000000001" customHeight="1">
      <c r="A99" s="278"/>
      <c r="B99" s="277" t="s">
        <v>654</v>
      </c>
      <c r="C99" s="277"/>
      <c r="D99" s="277"/>
      <c r="E99" s="277"/>
      <c r="F99" s="277"/>
      <c r="G99" s="277"/>
      <c r="H99" s="277"/>
      <c r="I99" s="277"/>
      <c r="J99" s="277"/>
      <c r="L99" s="284"/>
    </row>
    <row r="100" spans="1:13" s="283" customFormat="1" ht="20.100000000000001" customHeight="1">
      <c r="A100" s="278"/>
      <c r="B100" s="277" t="s">
        <v>655</v>
      </c>
      <c r="C100" s="389">
        <v>8</v>
      </c>
      <c r="D100" s="296" t="s">
        <v>297</v>
      </c>
      <c r="E100" s="441">
        <v>3630</v>
      </c>
      <c r="F100" s="441">
        <f>SUM(E100*C100)</f>
        <v>29040</v>
      </c>
      <c r="G100" s="648" t="s">
        <v>459</v>
      </c>
      <c r="H100" s="649"/>
      <c r="I100" s="303">
        <f>SUM(H100+F100)</f>
        <v>29040</v>
      </c>
      <c r="J100" s="277"/>
      <c r="L100" s="284"/>
    </row>
    <row r="101" spans="1:13" s="283" customFormat="1" ht="20.100000000000001" customHeight="1">
      <c r="A101" s="278"/>
      <c r="B101" s="277" t="s">
        <v>656</v>
      </c>
      <c r="C101" s="389">
        <v>3</v>
      </c>
      <c r="D101" s="296" t="s">
        <v>297</v>
      </c>
      <c r="E101" s="441">
        <v>12100</v>
      </c>
      <c r="F101" s="441">
        <f>SUM(E101*C101)</f>
        <v>36300</v>
      </c>
      <c r="G101" s="648" t="s">
        <v>459</v>
      </c>
      <c r="H101" s="649"/>
      <c r="I101" s="303">
        <f>SUM(H101+F101)</f>
        <v>36300</v>
      </c>
      <c r="J101" s="277"/>
      <c r="L101" s="284" t="s">
        <v>9</v>
      </c>
    </row>
    <row r="102" spans="1:13" s="283" customFormat="1" ht="20.100000000000001" customHeight="1">
      <c r="A102" s="278"/>
      <c r="B102" s="277" t="s">
        <v>657</v>
      </c>
      <c r="C102" s="277"/>
      <c r="D102" s="277"/>
      <c r="E102" s="277"/>
      <c r="F102" s="277"/>
      <c r="G102" s="277"/>
      <c r="H102" s="277"/>
      <c r="I102" s="277"/>
      <c r="J102" s="277"/>
      <c r="L102" s="284"/>
    </row>
    <row r="103" spans="1:13" s="283" customFormat="1" ht="20.100000000000001" customHeight="1">
      <c r="A103" s="278"/>
      <c r="B103" s="277" t="s">
        <v>655</v>
      </c>
      <c r="C103" s="389">
        <v>10</v>
      </c>
      <c r="D103" s="296" t="s">
        <v>297</v>
      </c>
      <c r="E103" s="441">
        <v>3960</v>
      </c>
      <c r="F103" s="441">
        <f>SUM(E103*C103)</f>
        <v>39600</v>
      </c>
      <c r="G103" s="648" t="s">
        <v>459</v>
      </c>
      <c r="H103" s="649"/>
      <c r="I103" s="303">
        <f>SUM(H103+F103)</f>
        <v>39600</v>
      </c>
      <c r="J103" s="277"/>
      <c r="L103" s="284"/>
    </row>
    <row r="104" spans="1:13" s="283" customFormat="1" ht="20.100000000000001" customHeight="1">
      <c r="A104" s="278"/>
      <c r="B104" s="279"/>
      <c r="C104" s="299"/>
      <c r="D104" s="274"/>
      <c r="E104" s="289"/>
      <c r="F104" s="281"/>
      <c r="G104" s="281"/>
      <c r="H104" s="281"/>
      <c r="I104" s="276"/>
      <c r="J104" s="277"/>
      <c r="L104" s="284"/>
    </row>
    <row r="105" spans="1:13" s="283" customFormat="1" ht="20.100000000000001" customHeight="1">
      <c r="A105" s="278"/>
      <c r="B105" s="279"/>
      <c r="C105" s="299"/>
      <c r="D105" s="274"/>
      <c r="E105" s="289"/>
      <c r="F105" s="281"/>
      <c r="G105" s="281"/>
      <c r="H105" s="281"/>
      <c r="I105" s="276"/>
      <c r="J105" s="277"/>
      <c r="L105" s="284"/>
    </row>
    <row r="106" spans="1:13" s="283" customFormat="1" ht="20.100000000000001" customHeight="1">
      <c r="A106" s="278"/>
      <c r="B106" s="279"/>
      <c r="C106" s="299"/>
      <c r="D106" s="274"/>
      <c r="E106" s="289"/>
      <c r="F106" s="281"/>
      <c r="G106" s="281"/>
      <c r="H106" s="281"/>
      <c r="I106" s="276"/>
      <c r="J106" s="277"/>
      <c r="L106" s="284"/>
    </row>
    <row r="107" spans="1:13" s="267" customFormat="1" ht="20.100000000000001" customHeight="1">
      <c r="A107" s="460"/>
      <c r="B107" s="288" t="s">
        <v>18</v>
      </c>
      <c r="C107" s="285"/>
      <c r="D107" s="274"/>
      <c r="E107" s="289"/>
      <c r="F107" s="290">
        <f>SUM(F90:F106)</f>
        <v>435625</v>
      </c>
      <c r="G107" s="291"/>
      <c r="H107" s="290">
        <f>SUM(H96:H106)</f>
        <v>0</v>
      </c>
      <c r="I107" s="276"/>
      <c r="J107" s="277"/>
      <c r="K107" s="286">
        <f>+H107+F107</f>
        <v>435625</v>
      </c>
      <c r="L107" s="196"/>
    </row>
    <row r="108" spans="1:13" s="267" customFormat="1" ht="20.100000000000001" customHeight="1">
      <c r="A108" s="460"/>
      <c r="B108" s="278" t="s">
        <v>86</v>
      </c>
      <c r="C108" s="285"/>
      <c r="D108" s="274"/>
      <c r="E108" s="289"/>
      <c r="F108" s="281"/>
      <c r="G108" s="291"/>
      <c r="H108" s="292"/>
      <c r="I108" s="423">
        <f>SUM(I90:I106)</f>
        <v>435625</v>
      </c>
      <c r="J108" s="277"/>
      <c r="K108" s="286"/>
      <c r="L108" s="196"/>
    </row>
    <row r="109" spans="1:13" s="267" customFormat="1" ht="20.100000000000001" customHeight="1">
      <c r="A109" s="411"/>
      <c r="B109" s="599" t="s">
        <v>579</v>
      </c>
      <c r="C109" s="277"/>
      <c r="D109" s="277"/>
      <c r="E109" s="277"/>
      <c r="F109" s="277"/>
      <c r="G109" s="277"/>
      <c r="H109" s="277"/>
      <c r="I109" s="277"/>
      <c r="J109" s="272"/>
      <c r="L109" s="196"/>
    </row>
    <row r="110" spans="1:13" s="283" customFormat="1" ht="20.100000000000001" customHeight="1">
      <c r="A110" s="278"/>
      <c r="B110" s="377" t="s">
        <v>651</v>
      </c>
      <c r="C110" s="468"/>
      <c r="D110" s="468"/>
      <c r="E110" s="468"/>
      <c r="F110" s="468"/>
      <c r="G110" s="468"/>
      <c r="H110" s="468"/>
      <c r="I110" s="468"/>
      <c r="J110" s="277"/>
      <c r="L110" s="284"/>
    </row>
    <row r="111" spans="1:13" s="283" customFormat="1" ht="20.100000000000001" customHeight="1">
      <c r="A111" s="278"/>
      <c r="B111" s="277" t="s">
        <v>658</v>
      </c>
      <c r="C111" s="468"/>
      <c r="D111" s="468"/>
      <c r="E111" s="468"/>
      <c r="F111" s="468"/>
      <c r="G111" s="468"/>
      <c r="H111" s="468"/>
      <c r="I111" s="468"/>
      <c r="J111" s="277"/>
      <c r="L111" s="284"/>
    </row>
    <row r="112" spans="1:13" s="283" customFormat="1" ht="20.100000000000001" customHeight="1">
      <c r="A112" s="278"/>
      <c r="B112" s="277" t="s">
        <v>655</v>
      </c>
      <c r="C112" s="389">
        <v>5</v>
      </c>
      <c r="D112" s="296" t="s">
        <v>297</v>
      </c>
      <c r="E112" s="441">
        <v>4130</v>
      </c>
      <c r="F112" s="441">
        <f>SUM(E112*C112)</f>
        <v>20650</v>
      </c>
      <c r="G112" s="648" t="s">
        <v>459</v>
      </c>
      <c r="H112" s="649"/>
      <c r="I112" s="303">
        <f>SUM(H112+F112)</f>
        <v>20650</v>
      </c>
      <c r="J112" s="277"/>
      <c r="L112" s="284"/>
      <c r="M112" s="283" t="s">
        <v>9</v>
      </c>
    </row>
    <row r="113" spans="1:13" s="283" customFormat="1" ht="20.100000000000001" customHeight="1">
      <c r="A113" s="278"/>
      <c r="B113" s="277" t="s">
        <v>656</v>
      </c>
      <c r="C113" s="389">
        <v>24</v>
      </c>
      <c r="D113" s="296" t="s">
        <v>297</v>
      </c>
      <c r="E113" s="441">
        <v>12600</v>
      </c>
      <c r="F113" s="441">
        <f>SUM(E113*C113)</f>
        <v>302400</v>
      </c>
      <c r="G113" s="648" t="s">
        <v>459</v>
      </c>
      <c r="H113" s="649"/>
      <c r="I113" s="303">
        <f>SUM(H113+F113)</f>
        <v>302400</v>
      </c>
      <c r="J113" s="277"/>
      <c r="L113" s="284"/>
    </row>
    <row r="114" spans="1:13" s="283" customFormat="1" ht="20.100000000000001" customHeight="1">
      <c r="A114" s="278"/>
      <c r="B114" s="277" t="s">
        <v>659</v>
      </c>
      <c r="C114" s="389">
        <v>1</v>
      </c>
      <c r="D114" s="296" t="s">
        <v>19</v>
      </c>
      <c r="E114" s="441">
        <v>26000</v>
      </c>
      <c r="F114" s="441">
        <f>SUM(E114*C114)</f>
        <v>26000</v>
      </c>
      <c r="G114" s="648" t="s">
        <v>459</v>
      </c>
      <c r="H114" s="649"/>
      <c r="I114" s="303">
        <f>SUM(H114+F114)</f>
        <v>26000</v>
      </c>
      <c r="J114" s="277"/>
      <c r="L114" s="284"/>
    </row>
    <row r="115" spans="1:13" s="283" customFormat="1" ht="20.100000000000001" customHeight="1">
      <c r="A115" s="278"/>
      <c r="B115" s="277" t="s">
        <v>631</v>
      </c>
      <c r="C115" s="389">
        <v>326</v>
      </c>
      <c r="D115" s="296" t="s">
        <v>125</v>
      </c>
      <c r="E115" s="442" t="s">
        <v>124</v>
      </c>
      <c r="F115" s="442" t="s">
        <v>124</v>
      </c>
      <c r="G115" s="441">
        <v>99</v>
      </c>
      <c r="H115" s="441">
        <f>SUM(G115*C115)</f>
        <v>32274</v>
      </c>
      <c r="I115" s="303">
        <f>SUM(H115)</f>
        <v>32274</v>
      </c>
      <c r="J115" s="277"/>
      <c r="L115" s="284"/>
    </row>
    <row r="116" spans="1:13" s="283" customFormat="1" ht="20.100000000000001" customHeight="1">
      <c r="A116" s="278"/>
      <c r="B116" s="277" t="s">
        <v>303</v>
      </c>
      <c r="C116" s="389">
        <v>154</v>
      </c>
      <c r="D116" s="296" t="s">
        <v>125</v>
      </c>
      <c r="E116" s="441">
        <v>537.39</v>
      </c>
      <c r="F116" s="441">
        <f>SUM(E116*C116)</f>
        <v>82758.06</v>
      </c>
      <c r="G116" s="441">
        <v>91</v>
      </c>
      <c r="H116" s="441">
        <f>SUM(G116*C116)</f>
        <v>14014</v>
      </c>
      <c r="I116" s="303">
        <f>SUM(H116+F116)</f>
        <v>96772.06</v>
      </c>
      <c r="J116" s="277"/>
      <c r="L116" s="284"/>
    </row>
    <row r="117" spans="1:13" s="283" customFormat="1" ht="20.100000000000001" customHeight="1">
      <c r="A117" s="278"/>
      <c r="B117" s="277"/>
      <c r="C117" s="468"/>
      <c r="D117" s="468"/>
      <c r="E117" s="468"/>
      <c r="F117" s="468"/>
      <c r="G117" s="468"/>
      <c r="H117" s="468"/>
      <c r="I117" s="468"/>
      <c r="J117" s="277"/>
      <c r="L117" s="284"/>
      <c r="M117" s="283" t="s">
        <v>9</v>
      </c>
    </row>
    <row r="118" spans="1:13" s="283" customFormat="1" ht="20.100000000000001" customHeight="1">
      <c r="A118" s="278"/>
      <c r="B118" s="277"/>
      <c r="C118" s="389"/>
      <c r="D118" s="296"/>
      <c r="E118" s="441"/>
      <c r="F118" s="441"/>
      <c r="G118" s="281"/>
      <c r="H118" s="281"/>
      <c r="I118" s="303"/>
      <c r="J118" s="277"/>
      <c r="L118" s="284"/>
    </row>
    <row r="119" spans="1:13" s="283" customFormat="1" ht="20.100000000000001" customHeight="1">
      <c r="A119" s="278"/>
      <c r="B119" s="277"/>
      <c r="C119" s="277"/>
      <c r="D119" s="277"/>
      <c r="E119" s="277"/>
      <c r="F119" s="277"/>
      <c r="G119" s="281"/>
      <c r="H119" s="281"/>
      <c r="I119" s="277"/>
      <c r="J119" s="277"/>
      <c r="L119" s="284"/>
    </row>
    <row r="120" spans="1:13" s="283" customFormat="1" ht="20.100000000000001" customHeight="1">
      <c r="A120" s="278"/>
      <c r="B120" s="277"/>
      <c r="C120" s="389"/>
      <c r="D120" s="296"/>
      <c r="E120" s="441"/>
      <c r="F120" s="441"/>
      <c r="G120" s="281"/>
      <c r="H120" s="281"/>
      <c r="I120" s="303"/>
      <c r="J120" s="277"/>
      <c r="L120" s="284"/>
    </row>
    <row r="121" spans="1:13" s="283" customFormat="1" ht="20.100000000000001" customHeight="1">
      <c r="A121" s="278"/>
      <c r="B121" s="277"/>
      <c r="C121" s="389"/>
      <c r="D121" s="296"/>
      <c r="E121" s="441"/>
      <c r="F121" s="441"/>
      <c r="G121" s="281"/>
      <c r="H121" s="281"/>
      <c r="I121" s="303"/>
      <c r="J121" s="277"/>
      <c r="L121" s="284"/>
    </row>
    <row r="122" spans="1:13" s="283" customFormat="1" ht="20.100000000000001" customHeight="1">
      <c r="A122" s="278"/>
      <c r="B122" s="277"/>
      <c r="C122" s="277"/>
      <c r="D122" s="277"/>
      <c r="E122" s="277"/>
      <c r="F122" s="277"/>
      <c r="G122" s="281"/>
      <c r="H122" s="281"/>
      <c r="I122" s="277"/>
      <c r="J122" s="277"/>
      <c r="L122" s="284"/>
    </row>
    <row r="123" spans="1:13" s="283" customFormat="1" ht="20.100000000000001" customHeight="1">
      <c r="A123" s="278"/>
      <c r="B123" s="277"/>
      <c r="C123" s="389"/>
      <c r="D123" s="296"/>
      <c r="E123" s="441"/>
      <c r="F123" s="441"/>
      <c r="G123" s="281"/>
      <c r="H123" s="281"/>
      <c r="I123" s="303"/>
      <c r="J123" s="277"/>
      <c r="L123" s="284"/>
    </row>
    <row r="124" spans="1:13" s="283" customFormat="1" ht="20.100000000000001" customHeight="1">
      <c r="A124" s="278"/>
      <c r="B124" s="279"/>
      <c r="C124" s="299"/>
      <c r="D124" s="274"/>
      <c r="E124" s="289"/>
      <c r="F124" s="281"/>
      <c r="G124" s="281"/>
      <c r="H124" s="281"/>
      <c r="I124" s="276"/>
      <c r="J124" s="277"/>
      <c r="L124" s="284"/>
    </row>
    <row r="125" spans="1:13" s="283" customFormat="1" ht="20.100000000000001" customHeight="1">
      <c r="A125" s="278"/>
      <c r="B125" s="279"/>
      <c r="C125" s="299"/>
      <c r="D125" s="274"/>
      <c r="E125" s="289"/>
      <c r="F125" s="281"/>
      <c r="G125" s="281"/>
      <c r="H125" s="281"/>
      <c r="I125" s="276"/>
      <c r="J125" s="277"/>
      <c r="L125" s="284"/>
    </row>
    <row r="126" spans="1:13" s="283" customFormat="1" ht="20.100000000000001" customHeight="1">
      <c r="A126" s="278"/>
      <c r="B126" s="279"/>
      <c r="C126" s="299"/>
      <c r="D126" s="274"/>
      <c r="E126" s="289"/>
      <c r="F126" s="281"/>
      <c r="G126" s="281"/>
      <c r="H126" s="281"/>
      <c r="I126" s="276"/>
      <c r="J126" s="277"/>
      <c r="L126" s="284"/>
    </row>
    <row r="127" spans="1:13" s="267" customFormat="1" ht="20.100000000000001" customHeight="1">
      <c r="A127" s="460"/>
      <c r="B127" s="288" t="s">
        <v>18</v>
      </c>
      <c r="C127" s="285"/>
      <c r="D127" s="274"/>
      <c r="E127" s="289"/>
      <c r="F127" s="290">
        <f>SUM(F110:F126)</f>
        <v>431808.06</v>
      </c>
      <c r="G127" s="291"/>
      <c r="H127" s="290">
        <f>SUM(H115:H126)</f>
        <v>46288</v>
      </c>
      <c r="I127" s="276"/>
      <c r="J127" s="277"/>
      <c r="K127" s="286">
        <f>+H127+F127</f>
        <v>478096.06</v>
      </c>
      <c r="L127" s="196"/>
    </row>
    <row r="128" spans="1:13" s="267" customFormat="1" ht="20.100000000000001" customHeight="1">
      <c r="A128" s="460"/>
      <c r="B128" s="278" t="s">
        <v>86</v>
      </c>
      <c r="C128" s="285"/>
      <c r="D128" s="274"/>
      <c r="E128" s="289"/>
      <c r="F128" s="281"/>
      <c r="G128" s="291"/>
      <c r="H128" s="292"/>
      <c r="I128" s="423">
        <f>SUM(I110:I126)</f>
        <v>478096.06</v>
      </c>
      <c r="J128" s="277"/>
      <c r="K128" s="286"/>
      <c r="L128" s="196"/>
    </row>
  </sheetData>
  <mergeCells count="25">
    <mergeCell ref="G79:H79"/>
    <mergeCell ref="G81:H81"/>
    <mergeCell ref="G82:H82"/>
    <mergeCell ref="G83:H83"/>
    <mergeCell ref="G50:H50"/>
    <mergeCell ref="G55:H55"/>
    <mergeCell ref="G58:H58"/>
    <mergeCell ref="A1:J1"/>
    <mergeCell ref="B3:E3"/>
    <mergeCell ref="A6:A7"/>
    <mergeCell ref="B6:B7"/>
    <mergeCell ref="C6:C7"/>
    <mergeCell ref="D6:D7"/>
    <mergeCell ref="E6:F6"/>
    <mergeCell ref="G6:H6"/>
    <mergeCell ref="J6:J7"/>
    <mergeCell ref="G112:H112"/>
    <mergeCell ref="G113:H113"/>
    <mergeCell ref="G114:H114"/>
    <mergeCell ref="G103:H103"/>
    <mergeCell ref="G80:H80"/>
    <mergeCell ref="G95:H95"/>
    <mergeCell ref="G98:H98"/>
    <mergeCell ref="G100:H100"/>
    <mergeCell ref="G101:H101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N49"/>
  <sheetViews>
    <sheetView tabSelected="1" view="pageBreakPreview" topLeftCell="A36" zoomScale="90" zoomScaleSheetLayoutView="90" workbookViewId="0">
      <selection sqref="A1:J45"/>
    </sheetView>
  </sheetViews>
  <sheetFormatPr defaultRowHeight="24"/>
  <cols>
    <col min="1" max="1" width="10.42578125" style="413" customWidth="1"/>
    <col min="2" max="2" width="56.140625" style="304" customWidth="1"/>
    <col min="3" max="3" width="8.5703125" style="304" customWidth="1"/>
    <col min="4" max="4" width="7" style="304" customWidth="1"/>
    <col min="5" max="8" width="11.7109375" style="304" customWidth="1"/>
    <col min="9" max="9" width="13.140625" style="304" customWidth="1"/>
    <col min="10" max="10" width="8.85546875" style="304" customWidth="1"/>
    <col min="11" max="11" width="12" style="304" customWidth="1"/>
    <col min="12" max="12" width="13.85546875" style="305" bestFit="1" customWidth="1"/>
    <col min="13" max="14" width="13.85546875" style="304" bestFit="1" customWidth="1"/>
    <col min="15" max="16384" width="9.140625" style="304"/>
  </cols>
  <sheetData>
    <row r="1" spans="1:14" s="196" customFormat="1" ht="21.75">
      <c r="A1" s="630" t="s">
        <v>94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4" s="263" customFormat="1" ht="21.75">
      <c r="A2" s="260" t="s">
        <v>92</v>
      </c>
      <c r="B2" s="203" t="str">
        <f>'ใบสรุปแบบ ปร.5 (ก) '!B2</f>
        <v>งานอาคาร</v>
      </c>
      <c r="C2" s="260"/>
      <c r="D2" s="261"/>
      <c r="E2" s="261"/>
      <c r="F2" s="203"/>
      <c r="G2" s="203"/>
      <c r="H2" s="262"/>
      <c r="I2" s="261"/>
      <c r="J2" s="261"/>
    </row>
    <row r="3" spans="1:14" s="196" customFormat="1" ht="21.75">
      <c r="A3" s="260" t="s">
        <v>93</v>
      </c>
      <c r="B3" s="637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3" s="637"/>
      <c r="D3" s="637"/>
      <c r="E3" s="637"/>
      <c r="F3" s="262" t="s">
        <v>14</v>
      </c>
      <c r="G3" s="203" t="s">
        <v>704</v>
      </c>
      <c r="H3" s="261"/>
      <c r="I3" s="261"/>
      <c r="J3" s="203"/>
    </row>
    <row r="4" spans="1:14" s="263" customFormat="1" ht="21.75">
      <c r="A4" s="260" t="s">
        <v>87</v>
      </c>
      <c r="B4" s="203" t="str">
        <f>+'แบบ ปร.6'!B4</f>
        <v>อ.บ้านฉาง จว.ระยอง</v>
      </c>
      <c r="C4" s="203" t="s">
        <v>152</v>
      </c>
      <c r="D4" s="203"/>
      <c r="F4" s="261" t="str">
        <f>+'แบบ ปร.6'!C6</f>
        <v>กบร.กร.</v>
      </c>
      <c r="G4" s="261"/>
      <c r="H4" s="261"/>
      <c r="I4" s="261"/>
      <c r="J4" s="261"/>
    </row>
    <row r="5" spans="1:14" s="263" customFormat="1" ht="22.5" thickBot="1">
      <c r="A5" s="414"/>
      <c r="B5" s="264"/>
      <c r="C5" s="264"/>
      <c r="D5" s="264"/>
      <c r="E5" s="264"/>
      <c r="F5" s="264"/>
      <c r="G5" s="264"/>
      <c r="H5" s="264"/>
      <c r="I5" s="265"/>
      <c r="J5" s="265"/>
    </row>
    <row r="6" spans="1:14" s="267" customFormat="1" ht="22.5" thickTop="1">
      <c r="A6" s="633" t="s">
        <v>95</v>
      </c>
      <c r="B6" s="633" t="s">
        <v>1</v>
      </c>
      <c r="C6" s="635" t="s">
        <v>2</v>
      </c>
      <c r="D6" s="633" t="s">
        <v>3</v>
      </c>
      <c r="E6" s="631" t="s">
        <v>75</v>
      </c>
      <c r="F6" s="632"/>
      <c r="G6" s="631" t="s">
        <v>74</v>
      </c>
      <c r="H6" s="632"/>
      <c r="I6" s="266" t="s">
        <v>73</v>
      </c>
      <c r="J6" s="633" t="s">
        <v>8</v>
      </c>
      <c r="L6" s="196"/>
    </row>
    <row r="7" spans="1:14" s="267" customFormat="1" ht="22.5" thickBot="1">
      <c r="A7" s="634"/>
      <c r="B7" s="634"/>
      <c r="C7" s="636"/>
      <c r="D7" s="634"/>
      <c r="E7" s="268" t="s">
        <v>4</v>
      </c>
      <c r="F7" s="268" t="s">
        <v>5</v>
      </c>
      <c r="G7" s="268" t="s">
        <v>4</v>
      </c>
      <c r="H7" s="269" t="s">
        <v>5</v>
      </c>
      <c r="I7" s="270" t="s">
        <v>85</v>
      </c>
      <c r="J7" s="634"/>
      <c r="L7" s="196"/>
    </row>
    <row r="8" spans="1:14" s="267" customFormat="1" ht="24.75" thickTop="1">
      <c r="A8" s="411"/>
      <c r="B8" s="445" t="s">
        <v>526</v>
      </c>
      <c r="C8" s="446"/>
      <c r="D8" s="272"/>
      <c r="E8" s="273"/>
      <c r="F8" s="273"/>
      <c r="G8" s="273"/>
      <c r="H8" s="486"/>
      <c r="I8" s="266"/>
      <c r="J8" s="272"/>
      <c r="L8" s="196"/>
    </row>
    <row r="9" spans="1:14" s="267" customFormat="1" ht="21.75">
      <c r="A9" s="278"/>
      <c r="B9" s="333" t="s">
        <v>582</v>
      </c>
      <c r="C9" s="334">
        <v>64</v>
      </c>
      <c r="D9" s="335" t="s">
        <v>155</v>
      </c>
      <c r="E9" s="330">
        <v>20000</v>
      </c>
      <c r="F9" s="329">
        <f t="shared" ref="F9:F18" si="0">SUM(C9*E9)</f>
        <v>1280000</v>
      </c>
      <c r="G9" s="336" t="s">
        <v>124</v>
      </c>
      <c r="H9" s="336" t="s">
        <v>124</v>
      </c>
      <c r="I9" s="337">
        <f t="shared" ref="I9:I18" si="1">SUM(F9)</f>
        <v>1280000</v>
      </c>
      <c r="J9" s="277"/>
      <c r="L9" s="196" t="s">
        <v>9</v>
      </c>
      <c r="M9" s="267" t="s">
        <v>9</v>
      </c>
    </row>
    <row r="10" spans="1:14" s="267" customFormat="1" ht="21.75">
      <c r="A10" s="278"/>
      <c r="B10" s="333" t="s">
        <v>583</v>
      </c>
      <c r="C10" s="334">
        <v>128</v>
      </c>
      <c r="D10" s="335" t="s">
        <v>157</v>
      </c>
      <c r="E10" s="330">
        <v>2000</v>
      </c>
      <c r="F10" s="329">
        <f t="shared" si="0"/>
        <v>256000</v>
      </c>
      <c r="G10" s="336" t="s">
        <v>124</v>
      </c>
      <c r="H10" s="336" t="s">
        <v>124</v>
      </c>
      <c r="I10" s="337">
        <f t="shared" si="1"/>
        <v>256000</v>
      </c>
      <c r="J10" s="277"/>
      <c r="L10" s="196"/>
    </row>
    <row r="11" spans="1:14" s="283" customFormat="1" ht="21.75">
      <c r="A11" s="278"/>
      <c r="B11" s="333" t="s">
        <v>584</v>
      </c>
      <c r="C11" s="334">
        <v>64</v>
      </c>
      <c r="D11" s="335" t="s">
        <v>157</v>
      </c>
      <c r="E11" s="330">
        <v>5000</v>
      </c>
      <c r="F11" s="329">
        <f t="shared" si="0"/>
        <v>320000</v>
      </c>
      <c r="G11" s="336" t="s">
        <v>124</v>
      </c>
      <c r="H11" s="336" t="s">
        <v>124</v>
      </c>
      <c r="I11" s="337">
        <f t="shared" si="1"/>
        <v>320000</v>
      </c>
      <c r="J11" s="277"/>
      <c r="L11" s="284"/>
      <c r="M11" s="283" t="s">
        <v>9</v>
      </c>
    </row>
    <row r="12" spans="1:14" s="283" customFormat="1" ht="21.75">
      <c r="A12" s="278"/>
      <c r="B12" s="333" t="s">
        <v>585</v>
      </c>
      <c r="C12" s="334">
        <v>64</v>
      </c>
      <c r="D12" s="335" t="s">
        <v>156</v>
      </c>
      <c r="E12" s="330">
        <v>17500</v>
      </c>
      <c r="F12" s="329">
        <f t="shared" si="0"/>
        <v>1120000</v>
      </c>
      <c r="G12" s="336" t="s">
        <v>124</v>
      </c>
      <c r="H12" s="336" t="s">
        <v>124</v>
      </c>
      <c r="I12" s="337">
        <f t="shared" si="1"/>
        <v>1120000</v>
      </c>
      <c r="J12" s="277"/>
      <c r="L12" s="284"/>
    </row>
    <row r="13" spans="1:14" s="283" customFormat="1" ht="21.75">
      <c r="A13" s="278"/>
      <c r="B13" s="333" t="s">
        <v>586</v>
      </c>
      <c r="C13" s="334">
        <v>128</v>
      </c>
      <c r="D13" s="335" t="s">
        <v>157</v>
      </c>
      <c r="E13" s="330">
        <v>6000</v>
      </c>
      <c r="F13" s="329">
        <f t="shared" si="0"/>
        <v>768000</v>
      </c>
      <c r="G13" s="336" t="s">
        <v>124</v>
      </c>
      <c r="H13" s="336" t="s">
        <v>124</v>
      </c>
      <c r="I13" s="337">
        <f t="shared" si="1"/>
        <v>768000</v>
      </c>
      <c r="J13" s="277"/>
      <c r="L13" s="284"/>
      <c r="N13" s="283" t="s">
        <v>9</v>
      </c>
    </row>
    <row r="14" spans="1:14" s="283" customFormat="1" ht="21.75">
      <c r="A14" s="278"/>
      <c r="B14" s="333" t="s">
        <v>587</v>
      </c>
      <c r="C14" s="334">
        <v>64</v>
      </c>
      <c r="D14" s="335" t="s">
        <v>157</v>
      </c>
      <c r="E14" s="330">
        <v>15000</v>
      </c>
      <c r="F14" s="329">
        <f t="shared" si="0"/>
        <v>960000</v>
      </c>
      <c r="G14" s="336" t="s">
        <v>124</v>
      </c>
      <c r="H14" s="336" t="s">
        <v>124</v>
      </c>
      <c r="I14" s="337">
        <f t="shared" si="1"/>
        <v>960000</v>
      </c>
      <c r="J14" s="277"/>
      <c r="L14" s="284"/>
    </row>
    <row r="15" spans="1:14" s="283" customFormat="1" ht="21.75">
      <c r="A15" s="278"/>
      <c r="B15" s="333" t="s">
        <v>588</v>
      </c>
      <c r="C15" s="334">
        <v>256</v>
      </c>
      <c r="D15" s="335" t="s">
        <v>157</v>
      </c>
      <c r="E15" s="330">
        <v>3500</v>
      </c>
      <c r="F15" s="329">
        <f t="shared" si="0"/>
        <v>896000</v>
      </c>
      <c r="G15" s="336" t="s">
        <v>124</v>
      </c>
      <c r="H15" s="336" t="s">
        <v>124</v>
      </c>
      <c r="I15" s="337">
        <f t="shared" si="1"/>
        <v>896000</v>
      </c>
      <c r="J15" s="277"/>
      <c r="L15" s="284"/>
      <c r="M15" s="283" t="s">
        <v>9</v>
      </c>
    </row>
    <row r="16" spans="1:14" s="267" customFormat="1" ht="21.75">
      <c r="A16" s="278"/>
      <c r="B16" s="333" t="s">
        <v>589</v>
      </c>
      <c r="C16" s="334">
        <v>64</v>
      </c>
      <c r="D16" s="335" t="s">
        <v>157</v>
      </c>
      <c r="E16" s="330">
        <v>15000</v>
      </c>
      <c r="F16" s="329">
        <f t="shared" si="0"/>
        <v>960000</v>
      </c>
      <c r="G16" s="336" t="s">
        <v>124</v>
      </c>
      <c r="H16" s="336" t="s">
        <v>124</v>
      </c>
      <c r="I16" s="337">
        <f t="shared" si="1"/>
        <v>960000</v>
      </c>
      <c r="J16" s="277"/>
      <c r="L16" s="196"/>
    </row>
    <row r="17" spans="1:13" s="267" customFormat="1" ht="21.75">
      <c r="A17" s="278"/>
      <c r="B17" s="333" t="s">
        <v>590</v>
      </c>
      <c r="C17" s="334">
        <v>64</v>
      </c>
      <c r="D17" s="335" t="s">
        <v>156</v>
      </c>
      <c r="E17" s="330">
        <v>10000</v>
      </c>
      <c r="F17" s="329">
        <f t="shared" si="0"/>
        <v>640000</v>
      </c>
      <c r="G17" s="336" t="s">
        <v>124</v>
      </c>
      <c r="H17" s="336" t="s">
        <v>124</v>
      </c>
      <c r="I17" s="337">
        <f t="shared" si="1"/>
        <v>640000</v>
      </c>
      <c r="J17" s="277"/>
      <c r="L17" s="196"/>
    </row>
    <row r="18" spans="1:13" s="267" customFormat="1" ht="21.75">
      <c r="A18" s="278"/>
      <c r="B18" s="333" t="s">
        <v>591</v>
      </c>
      <c r="C18" s="334">
        <v>64</v>
      </c>
      <c r="D18" s="335" t="s">
        <v>157</v>
      </c>
      <c r="E18" s="330">
        <v>5000</v>
      </c>
      <c r="F18" s="329">
        <f t="shared" si="0"/>
        <v>320000</v>
      </c>
      <c r="G18" s="336" t="s">
        <v>124</v>
      </c>
      <c r="H18" s="336" t="s">
        <v>124</v>
      </c>
      <c r="I18" s="337">
        <f t="shared" si="1"/>
        <v>320000</v>
      </c>
      <c r="J18" s="277"/>
      <c r="L18" s="196"/>
    </row>
    <row r="19" spans="1:13" s="267" customFormat="1" ht="21.75">
      <c r="A19" s="278"/>
      <c r="B19" s="279"/>
      <c r="C19" s="285"/>
      <c r="D19" s="274"/>
      <c r="E19" s="289"/>
      <c r="F19" s="281"/>
      <c r="G19" s="280"/>
      <c r="H19" s="280"/>
      <c r="I19" s="276"/>
      <c r="J19" s="277"/>
      <c r="K19" s="286"/>
      <c r="L19" s="196"/>
      <c r="M19" s="267" t="s">
        <v>9</v>
      </c>
    </row>
    <row r="20" spans="1:13" s="267" customFormat="1" ht="21.75">
      <c r="A20" s="278"/>
      <c r="B20" s="279"/>
      <c r="C20" s="285"/>
      <c r="D20" s="274"/>
      <c r="E20" s="289"/>
      <c r="F20" s="281"/>
      <c r="G20" s="280"/>
      <c r="H20" s="280"/>
      <c r="I20" s="276"/>
      <c r="J20" s="277"/>
      <c r="K20" s="286"/>
      <c r="L20" s="196"/>
    </row>
    <row r="21" spans="1:13" s="267" customFormat="1" ht="21.75">
      <c r="A21" s="278"/>
      <c r="B21" s="279"/>
      <c r="C21" s="285"/>
      <c r="D21" s="274"/>
      <c r="E21" s="289"/>
      <c r="F21" s="281"/>
      <c r="G21" s="280"/>
      <c r="H21" s="280"/>
      <c r="I21" s="276"/>
      <c r="J21" s="277"/>
      <c r="K21" s="286"/>
      <c r="L21" s="196"/>
    </row>
    <row r="22" spans="1:13" s="267" customFormat="1" ht="21.75">
      <c r="A22" s="278"/>
      <c r="B22" s="279"/>
      <c r="C22" s="285"/>
      <c r="D22" s="274"/>
      <c r="E22" s="289"/>
      <c r="F22" s="281"/>
      <c r="G22" s="280"/>
      <c r="H22" s="280"/>
      <c r="I22" s="276"/>
      <c r="J22" s="277"/>
      <c r="K22" s="286"/>
      <c r="L22" s="196"/>
      <c r="M22" s="267" t="s">
        <v>9</v>
      </c>
    </row>
    <row r="23" spans="1:13" s="267" customFormat="1" ht="21.75">
      <c r="A23" s="278"/>
      <c r="B23" s="279"/>
      <c r="C23" s="285"/>
      <c r="D23" s="274"/>
      <c r="E23" s="289"/>
      <c r="F23" s="281"/>
      <c r="G23" s="280"/>
      <c r="H23" s="280"/>
      <c r="I23" s="276"/>
      <c r="J23" s="277"/>
      <c r="K23" s="286"/>
      <c r="L23" s="196"/>
    </row>
    <row r="24" spans="1:13" s="267" customFormat="1" ht="21.75">
      <c r="A24" s="278"/>
      <c r="B24" s="279"/>
      <c r="C24" s="285"/>
      <c r="D24" s="274"/>
      <c r="E24" s="289"/>
      <c r="F24" s="281"/>
      <c r="G24" s="280"/>
      <c r="H24" s="280"/>
      <c r="I24" s="276"/>
      <c r="J24" s="277"/>
      <c r="K24" s="286"/>
      <c r="L24" s="196"/>
    </row>
    <row r="25" spans="1:13" s="267" customFormat="1">
      <c r="A25" s="460"/>
      <c r="B25" s="288" t="s">
        <v>18</v>
      </c>
      <c r="C25" s="285"/>
      <c r="D25" s="274"/>
      <c r="E25" s="289"/>
      <c r="F25" s="290">
        <f>SUM(F9:F24)</f>
        <v>7520000</v>
      </c>
      <c r="G25" s="291"/>
      <c r="H25" s="290"/>
      <c r="I25" s="276"/>
      <c r="J25" s="277"/>
      <c r="K25" s="286">
        <f>+H25+F25</f>
        <v>7520000</v>
      </c>
      <c r="L25" s="196"/>
    </row>
    <row r="26" spans="1:13" s="267" customFormat="1" ht="22.5" thickBot="1">
      <c r="A26" s="460"/>
      <c r="B26" s="278" t="s">
        <v>86</v>
      </c>
      <c r="C26" s="285"/>
      <c r="D26" s="274"/>
      <c r="E26" s="289"/>
      <c r="F26" s="281"/>
      <c r="G26" s="291"/>
      <c r="H26" s="292"/>
      <c r="I26" s="423">
        <f>SUM(I9:I25)</f>
        <v>7520000</v>
      </c>
      <c r="J26" s="277"/>
      <c r="K26" s="286"/>
      <c r="L26" s="196"/>
    </row>
    <row r="27" spans="1:13" s="267" customFormat="1" ht="24.75" thickTop="1">
      <c r="A27" s="411"/>
      <c r="B27" s="445" t="s">
        <v>664</v>
      </c>
      <c r="C27" s="446"/>
      <c r="D27" s="272"/>
      <c r="E27" s="273"/>
      <c r="F27" s="273"/>
      <c r="G27" s="273"/>
      <c r="H27" s="486"/>
      <c r="I27" s="266"/>
      <c r="J27" s="272"/>
      <c r="L27" s="196"/>
    </row>
    <row r="28" spans="1:13" s="267" customFormat="1" ht="21.75">
      <c r="A28" s="278"/>
      <c r="B28" s="277" t="s">
        <v>484</v>
      </c>
      <c r="C28" s="440">
        <v>2</v>
      </c>
      <c r="D28" s="383" t="s">
        <v>300</v>
      </c>
      <c r="E28" s="443">
        <v>146240</v>
      </c>
      <c r="F28" s="443">
        <f>SUM(E28*C28)</f>
        <v>292480</v>
      </c>
      <c r="G28" s="336" t="s">
        <v>124</v>
      </c>
      <c r="H28" s="336" t="s">
        <v>124</v>
      </c>
      <c r="I28" s="337">
        <f t="shared" ref="I28:I29" si="2">SUM(F28)</f>
        <v>292480</v>
      </c>
      <c r="J28" s="277"/>
      <c r="L28" s="196"/>
    </row>
    <row r="29" spans="1:13" s="283" customFormat="1" ht="21.75">
      <c r="A29" s="278"/>
      <c r="B29" s="277" t="s">
        <v>485</v>
      </c>
      <c r="C29" s="389">
        <v>2</v>
      </c>
      <c r="D29" s="296" t="s">
        <v>300</v>
      </c>
      <c r="E29" s="388">
        <v>176465</v>
      </c>
      <c r="F29" s="388">
        <f>SUM(C29*E29)</f>
        <v>352930</v>
      </c>
      <c r="G29" s="336" t="s">
        <v>124</v>
      </c>
      <c r="H29" s="336" t="s">
        <v>124</v>
      </c>
      <c r="I29" s="337">
        <f t="shared" si="2"/>
        <v>352930</v>
      </c>
      <c r="J29" s="277"/>
      <c r="L29" s="284"/>
    </row>
    <row r="30" spans="1:13" s="283" customFormat="1">
      <c r="A30" s="278"/>
      <c r="B30" s="387" t="s">
        <v>665</v>
      </c>
      <c r="C30" s="440">
        <v>2</v>
      </c>
      <c r="D30" s="383" t="s">
        <v>128</v>
      </c>
      <c r="E30" s="385">
        <v>70000</v>
      </c>
      <c r="F30" s="384">
        <f>C30*E30</f>
        <v>140000</v>
      </c>
      <c r="G30" s="472" t="s">
        <v>124</v>
      </c>
      <c r="H30" s="472" t="s">
        <v>124</v>
      </c>
      <c r="I30" s="385">
        <f>SUM(F30)</f>
        <v>140000</v>
      </c>
      <c r="J30" s="277"/>
      <c r="L30" s="284"/>
    </row>
    <row r="31" spans="1:13" s="283" customFormat="1" ht="21.75">
      <c r="A31" s="278"/>
      <c r="B31" s="387" t="s">
        <v>487</v>
      </c>
      <c r="C31" s="474">
        <v>1</v>
      </c>
      <c r="D31" s="383" t="s">
        <v>19</v>
      </c>
      <c r="E31" s="385">
        <v>45000</v>
      </c>
      <c r="F31" s="384">
        <f>C31*E31</f>
        <v>45000</v>
      </c>
      <c r="G31" s="472" t="s">
        <v>124</v>
      </c>
      <c r="H31" s="472" t="s">
        <v>124</v>
      </c>
      <c r="I31" s="376">
        <f>SUM(F31)</f>
        <v>45000</v>
      </c>
      <c r="J31" s="277"/>
      <c r="L31" s="284"/>
    </row>
    <row r="32" spans="1:13" s="283" customFormat="1" ht="21.75">
      <c r="A32" s="278"/>
      <c r="B32" s="277" t="s">
        <v>488</v>
      </c>
      <c r="C32" s="277"/>
      <c r="D32" s="277"/>
      <c r="E32" s="277"/>
      <c r="F32" s="277"/>
      <c r="G32" s="277"/>
      <c r="H32" s="277"/>
      <c r="I32" s="277"/>
      <c r="J32" s="277"/>
      <c r="L32" s="284"/>
    </row>
    <row r="33" spans="1:14" s="283" customFormat="1" ht="21.75">
      <c r="A33" s="278"/>
      <c r="B33" s="277" t="s">
        <v>489</v>
      </c>
      <c r="C33" s="277"/>
      <c r="D33" s="277"/>
      <c r="E33" s="277"/>
      <c r="F33" s="277"/>
      <c r="G33" s="277"/>
      <c r="H33" s="277"/>
      <c r="I33" s="277"/>
      <c r="J33" s="277"/>
      <c r="L33" s="284"/>
      <c r="N33" s="283" t="s">
        <v>9</v>
      </c>
    </row>
    <row r="34" spans="1:14" s="283" customFormat="1" ht="21.75">
      <c r="A34" s="278"/>
      <c r="B34" s="277" t="s">
        <v>490</v>
      </c>
      <c r="C34" s="440">
        <v>2</v>
      </c>
      <c r="D34" s="383" t="s">
        <v>128</v>
      </c>
      <c r="E34" s="385">
        <v>132550</v>
      </c>
      <c r="F34" s="384">
        <f>C34*E34</f>
        <v>265100</v>
      </c>
      <c r="G34" s="472" t="s">
        <v>124</v>
      </c>
      <c r="H34" s="472" t="s">
        <v>124</v>
      </c>
      <c r="I34" s="385">
        <f>SUM(F34)</f>
        <v>265100</v>
      </c>
      <c r="J34" s="277"/>
      <c r="L34" s="284"/>
    </row>
    <row r="35" spans="1:14" s="283" customFormat="1" ht="21.75">
      <c r="A35" s="278"/>
      <c r="B35" s="387" t="s">
        <v>519</v>
      </c>
      <c r="C35" s="440"/>
      <c r="D35" s="383"/>
      <c r="E35" s="385"/>
      <c r="F35" s="384"/>
      <c r="G35" s="385"/>
      <c r="H35" s="385"/>
      <c r="I35" s="385"/>
      <c r="J35" s="277"/>
      <c r="L35" s="284" t="s">
        <v>9</v>
      </c>
      <c r="M35" s="283" t="s">
        <v>9</v>
      </c>
    </row>
    <row r="36" spans="1:14" s="267" customFormat="1" ht="21.75">
      <c r="A36" s="278"/>
      <c r="B36" s="387" t="s">
        <v>520</v>
      </c>
      <c r="C36" s="440">
        <v>1</v>
      </c>
      <c r="D36" s="383" t="s">
        <v>128</v>
      </c>
      <c r="E36" s="385">
        <v>459335</v>
      </c>
      <c r="F36" s="384">
        <f t="shared" ref="F36" si="3">C36*E36</f>
        <v>459335</v>
      </c>
      <c r="G36" s="646" t="s">
        <v>459</v>
      </c>
      <c r="H36" s="647"/>
      <c r="I36" s="385">
        <f>SUM(F36+H36)</f>
        <v>459335</v>
      </c>
      <c r="J36" s="277"/>
      <c r="L36" s="196" t="s">
        <v>9</v>
      </c>
    </row>
    <row r="37" spans="1:14" s="267" customFormat="1" ht="21.75">
      <c r="A37" s="278"/>
      <c r="B37" s="391" t="s">
        <v>521</v>
      </c>
      <c r="C37" s="440"/>
      <c r="D37" s="383"/>
      <c r="E37" s="385"/>
      <c r="F37" s="385"/>
      <c r="G37" s="384"/>
      <c r="H37" s="475"/>
      <c r="I37" s="385"/>
      <c r="J37" s="277"/>
      <c r="L37" s="196"/>
      <c r="M37" s="267" t="s">
        <v>9</v>
      </c>
    </row>
    <row r="38" spans="1:14" s="267" customFormat="1" ht="21.75">
      <c r="A38" s="278"/>
      <c r="B38" s="391" t="s">
        <v>522</v>
      </c>
      <c r="C38" s="392"/>
      <c r="D38" s="392"/>
      <c r="E38" s="385"/>
      <c r="F38" s="384"/>
      <c r="G38" s="476"/>
      <c r="H38" s="477"/>
      <c r="I38" s="376"/>
      <c r="J38" s="277"/>
      <c r="L38" s="196"/>
    </row>
    <row r="39" spans="1:14" s="267" customFormat="1" ht="21.75">
      <c r="A39" s="278"/>
      <c r="B39" s="471" t="s">
        <v>523</v>
      </c>
      <c r="C39" s="440">
        <v>1</v>
      </c>
      <c r="D39" s="383" t="s">
        <v>128</v>
      </c>
      <c r="E39" s="385">
        <v>115850</v>
      </c>
      <c r="F39" s="384">
        <f t="shared" ref="F39" si="4">C39*E39</f>
        <v>115850</v>
      </c>
      <c r="G39" s="646" t="s">
        <v>459</v>
      </c>
      <c r="H39" s="647"/>
      <c r="I39" s="385">
        <f>SUM(F39+H39)</f>
        <v>115850</v>
      </c>
      <c r="J39" s="277"/>
      <c r="K39" s="286"/>
      <c r="L39" s="196"/>
      <c r="M39" s="267" t="s">
        <v>9</v>
      </c>
    </row>
    <row r="40" spans="1:14" s="267" customFormat="1" ht="21.75">
      <c r="A40" s="278"/>
      <c r="B40" s="279"/>
      <c r="C40" s="285"/>
      <c r="D40" s="274"/>
      <c r="E40" s="289"/>
      <c r="F40" s="281"/>
      <c r="G40" s="280"/>
      <c r="H40" s="280"/>
      <c r="I40" s="276"/>
      <c r="J40" s="277"/>
      <c r="K40" s="286"/>
      <c r="L40" s="196"/>
    </row>
    <row r="41" spans="1:14" s="267" customFormat="1" ht="21.75">
      <c r="A41" s="278"/>
      <c r="B41" s="279"/>
      <c r="C41" s="285"/>
      <c r="D41" s="274"/>
      <c r="E41" s="289"/>
      <c r="F41" s="281"/>
      <c r="G41" s="280"/>
      <c r="H41" s="280"/>
      <c r="I41" s="276"/>
      <c r="J41" s="277"/>
      <c r="K41" s="286"/>
      <c r="L41" s="196"/>
      <c r="M41" s="267" t="s">
        <v>9</v>
      </c>
    </row>
    <row r="42" spans="1:14" s="267" customFormat="1" ht="21.75">
      <c r="A42" s="278"/>
      <c r="B42" s="279"/>
      <c r="C42" s="285"/>
      <c r="D42" s="274"/>
      <c r="E42" s="289"/>
      <c r="F42" s="281"/>
      <c r="G42" s="280"/>
      <c r="H42" s="280"/>
      <c r="I42" s="276"/>
      <c r="J42" s="277"/>
      <c r="K42" s="286"/>
      <c r="L42" s="196"/>
    </row>
    <row r="43" spans="1:14" s="267" customFormat="1" ht="21.75">
      <c r="A43" s="278"/>
      <c r="B43" s="279"/>
      <c r="C43" s="285"/>
      <c r="D43" s="274"/>
      <c r="E43" s="289"/>
      <c r="F43" s="281"/>
      <c r="G43" s="280"/>
      <c r="H43" s="280"/>
      <c r="I43" s="276"/>
      <c r="J43" s="277"/>
      <c r="K43" s="286"/>
      <c r="L43" s="196"/>
    </row>
    <row r="44" spans="1:14" s="267" customFormat="1">
      <c r="A44" s="460"/>
      <c r="B44" s="288" t="s">
        <v>18</v>
      </c>
      <c r="C44" s="285"/>
      <c r="D44" s="274"/>
      <c r="E44" s="289"/>
      <c r="F44" s="290">
        <f>SUM(F28:F43)</f>
        <v>1670695</v>
      </c>
      <c r="G44" s="291"/>
      <c r="H44" s="290"/>
      <c r="I44" s="276"/>
      <c r="J44" s="277"/>
      <c r="K44" s="286">
        <f>+H44+F44</f>
        <v>1670695</v>
      </c>
      <c r="L44" s="196"/>
    </row>
    <row r="45" spans="1:14" s="267" customFormat="1" ht="21.75">
      <c r="A45" s="460"/>
      <c r="B45" s="278" t="s">
        <v>86</v>
      </c>
      <c r="C45" s="285"/>
      <c r="D45" s="274"/>
      <c r="E45" s="289"/>
      <c r="F45" s="281"/>
      <c r="G45" s="291"/>
      <c r="H45" s="292"/>
      <c r="I45" s="423">
        <f>SUM(I28:I44)</f>
        <v>1670695</v>
      </c>
      <c r="J45" s="277"/>
      <c r="K45" s="286"/>
      <c r="L45" s="196"/>
      <c r="M45" s="267" t="s">
        <v>9</v>
      </c>
    </row>
    <row r="49" spans="13:13">
      <c r="M49" s="304" t="s">
        <v>9</v>
      </c>
    </row>
  </sheetData>
  <mergeCells count="11">
    <mergeCell ref="G36:H36"/>
    <mergeCell ref="G39:H39"/>
    <mergeCell ref="A1:J1"/>
    <mergeCell ref="E6:F6"/>
    <mergeCell ref="G6:H6"/>
    <mergeCell ref="A6:A7"/>
    <mergeCell ref="B6:B7"/>
    <mergeCell ref="C6:C7"/>
    <mergeCell ref="D6:D7"/>
    <mergeCell ref="J6:J7"/>
    <mergeCell ref="B3:E3"/>
  </mergeCells>
  <pageMargins left="0.35433070866141736" right="0.27559055118110237" top="0.39370078740157483" bottom="0.23" header="0.11811023622047245" footer="0.18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9"/>
  <sheetViews>
    <sheetView view="pageBreakPreview" zoomScaleSheetLayoutView="100" workbookViewId="0">
      <selection activeCell="D16" sqref="D15:D16"/>
    </sheetView>
  </sheetViews>
  <sheetFormatPr defaultRowHeight="21"/>
  <cols>
    <col min="1" max="1" width="13.140625" style="60" customWidth="1"/>
    <col min="2" max="2" width="64.42578125" style="56" customWidth="1"/>
    <col min="3" max="3" width="15.5703125" style="56" customWidth="1"/>
    <col min="4" max="4" width="11.7109375" style="56" customWidth="1"/>
    <col min="5" max="5" width="24.140625" style="56" customWidth="1"/>
    <col min="6" max="6" width="17.5703125" style="56" customWidth="1"/>
    <col min="7" max="7" width="12" style="56" customWidth="1"/>
    <col min="8" max="8" width="13.85546875" style="6" bestFit="1" customWidth="1"/>
    <col min="9" max="10" width="13.85546875" style="56" bestFit="1" customWidth="1"/>
    <col min="11" max="16384" width="9.140625" style="56"/>
  </cols>
  <sheetData>
    <row r="1" spans="1:8" s="5" customFormat="1" ht="23.25">
      <c r="A1" s="651" t="s">
        <v>94</v>
      </c>
      <c r="B1" s="651"/>
      <c r="C1" s="651"/>
      <c r="D1" s="651"/>
      <c r="E1" s="651"/>
      <c r="F1" s="651"/>
    </row>
    <row r="2" spans="1:8" s="5" customFormat="1">
      <c r="A2" s="650" t="s">
        <v>32</v>
      </c>
      <c r="B2" s="650"/>
      <c r="C2" s="650"/>
      <c r="D2" s="650"/>
      <c r="E2" s="650"/>
      <c r="F2" s="650"/>
    </row>
    <row r="3" spans="1:8" s="44" customFormat="1" ht="18.75">
      <c r="A3" s="58" t="s">
        <v>92</v>
      </c>
      <c r="B3" s="75" t="str">
        <f>'ใบสรุปแบบ ปร.5 (ก) '!B2</f>
        <v>งานอาคาร</v>
      </c>
      <c r="C3" s="42"/>
      <c r="D3" s="41"/>
      <c r="E3" s="41"/>
      <c r="F3" s="41"/>
    </row>
    <row r="4" spans="1:8" s="5" customFormat="1" ht="18.75">
      <c r="A4" s="58" t="s">
        <v>93</v>
      </c>
      <c r="B4" s="75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C4" s="43" t="s">
        <v>14</v>
      </c>
      <c r="D4" s="75" t="str">
        <f>+'แบบ ปร.6'!B5</f>
        <v>62 - 2 - 083 , 61 - 2 - 040 , 58 - 2 - 059 , 61 - 2 - 070 , 62 - 4 - 014 , 62 - 5 - 032</v>
      </c>
      <c r="E4" s="63"/>
      <c r="F4" s="40"/>
    </row>
    <row r="5" spans="1:8" s="44" customFormat="1" ht="18.75">
      <c r="A5" s="58" t="s">
        <v>87</v>
      </c>
      <c r="B5" s="75" t="str">
        <f>+'แบบ ปร.6'!B4</f>
        <v>อ.บ้านฉาง จว.ระยอง</v>
      </c>
      <c r="C5" s="40" t="s">
        <v>90</v>
      </c>
      <c r="D5" s="40"/>
      <c r="E5" s="74" t="str">
        <f>+'แบบ ปร.6'!C6</f>
        <v>กบร.กร.</v>
      </c>
      <c r="F5" s="41"/>
    </row>
    <row r="6" spans="1:8" s="44" customFormat="1" ht="19.5" thickBot="1">
      <c r="A6" s="123" t="s">
        <v>120</v>
      </c>
      <c r="B6" s="124" t="s">
        <v>121</v>
      </c>
      <c r="C6" s="66">
        <f>+'แบบ ปร.6'!B8</f>
        <v>0</v>
      </c>
      <c r="D6" s="73"/>
      <c r="E6" s="66"/>
      <c r="F6" s="67"/>
    </row>
    <row r="7" spans="1:8" s="7" customFormat="1" ht="19.5" thickTop="1">
      <c r="A7" s="64" t="s">
        <v>95</v>
      </c>
      <c r="B7" s="65" t="s">
        <v>1</v>
      </c>
      <c r="C7" s="77" t="s">
        <v>2</v>
      </c>
      <c r="D7" s="65" t="s">
        <v>3</v>
      </c>
      <c r="E7" s="76" t="s">
        <v>109</v>
      </c>
      <c r="F7" s="45" t="s">
        <v>8</v>
      </c>
      <c r="H7" s="5"/>
    </row>
    <row r="8" spans="1:8" s="7" customFormat="1" ht="19.5" thickBot="1">
      <c r="A8" s="68"/>
      <c r="B8" s="69"/>
      <c r="C8" s="70"/>
      <c r="D8" s="69"/>
      <c r="E8" s="71" t="s">
        <v>110</v>
      </c>
      <c r="F8" s="72"/>
      <c r="H8" s="5"/>
    </row>
    <row r="9" spans="1:8" s="7" customFormat="1" ht="19.5" thickTop="1">
      <c r="A9" s="57">
        <v>1</v>
      </c>
      <c r="B9" s="35"/>
      <c r="C9" s="36">
        <v>1</v>
      </c>
      <c r="D9" s="36" t="s">
        <v>19</v>
      </c>
      <c r="E9" s="38">
        <v>5000</v>
      </c>
      <c r="F9" s="34"/>
      <c r="H9" s="5"/>
    </row>
    <row r="10" spans="1:8" s="9" customFormat="1" ht="18.75">
      <c r="A10" s="57">
        <v>2</v>
      </c>
      <c r="B10" s="35"/>
      <c r="C10" s="54">
        <v>2</v>
      </c>
      <c r="D10" s="36" t="s">
        <v>19</v>
      </c>
      <c r="E10" s="38">
        <v>3000</v>
      </c>
      <c r="F10" s="34"/>
      <c r="H10" s="8"/>
    </row>
    <row r="11" spans="1:8" s="9" customFormat="1" ht="18.75">
      <c r="A11" s="57">
        <v>3</v>
      </c>
      <c r="B11" s="35"/>
      <c r="C11" s="36">
        <v>3</v>
      </c>
      <c r="D11" s="36" t="s">
        <v>19</v>
      </c>
      <c r="E11" s="38">
        <v>2000</v>
      </c>
      <c r="F11" s="34"/>
      <c r="H11" s="8"/>
    </row>
    <row r="12" spans="1:8" s="9" customFormat="1" ht="18.75">
      <c r="A12" s="57">
        <v>4</v>
      </c>
      <c r="B12" s="35"/>
      <c r="C12" s="55">
        <v>2</v>
      </c>
      <c r="D12" s="36" t="s">
        <v>19</v>
      </c>
      <c r="E12" s="38">
        <v>1000</v>
      </c>
      <c r="F12" s="34"/>
      <c r="H12" s="8"/>
    </row>
    <row r="13" spans="1:8" s="9" customFormat="1" ht="18.75">
      <c r="A13" s="57"/>
      <c r="B13" s="35"/>
      <c r="C13" s="36"/>
      <c r="D13" s="36"/>
      <c r="E13" s="37"/>
      <c r="F13" s="34"/>
      <c r="H13" s="8"/>
    </row>
    <row r="14" spans="1:8" s="9" customFormat="1" ht="18.75">
      <c r="A14" s="57"/>
      <c r="B14" s="35"/>
      <c r="C14" s="54"/>
      <c r="D14" s="36"/>
      <c r="E14" s="37"/>
      <c r="F14" s="34"/>
      <c r="H14" s="8"/>
    </row>
    <row r="15" spans="1:8" s="9" customFormat="1" ht="18.75">
      <c r="A15" s="57"/>
      <c r="B15" s="35"/>
      <c r="C15" s="54"/>
      <c r="D15" s="36"/>
      <c r="E15" s="37"/>
      <c r="F15" s="34"/>
      <c r="H15" s="8"/>
    </row>
    <row r="16" spans="1:8" s="9" customFormat="1" ht="18.75">
      <c r="A16" s="57"/>
      <c r="B16" s="35"/>
      <c r="C16" s="54"/>
      <c r="D16" s="36"/>
      <c r="E16" s="37"/>
      <c r="F16" s="34"/>
      <c r="H16" s="8"/>
    </row>
    <row r="17" spans="1:8" s="9" customFormat="1" ht="18.75">
      <c r="A17" s="57"/>
      <c r="B17" s="35"/>
      <c r="C17" s="54"/>
      <c r="D17" s="36"/>
      <c r="E17" s="37"/>
      <c r="F17" s="34"/>
      <c r="H17" s="8"/>
    </row>
    <row r="18" spans="1:8" s="9" customFormat="1" ht="18.75">
      <c r="A18" s="57"/>
      <c r="B18" s="35"/>
      <c r="C18" s="54"/>
      <c r="D18" s="36"/>
      <c r="E18" s="37"/>
      <c r="F18" s="34"/>
      <c r="H18" s="8"/>
    </row>
    <row r="19" spans="1:8" s="9" customFormat="1" ht="18.75">
      <c r="A19" s="57"/>
      <c r="B19" s="35"/>
      <c r="C19" s="54"/>
      <c r="D19" s="36"/>
      <c r="E19" s="37"/>
      <c r="F19" s="34"/>
      <c r="H19" s="8"/>
    </row>
    <row r="20" spans="1:8" s="7" customFormat="1" ht="18.75">
      <c r="A20" s="57"/>
      <c r="B20" s="35"/>
      <c r="C20" s="54"/>
      <c r="D20" s="36"/>
      <c r="E20" s="37"/>
      <c r="F20" s="34"/>
      <c r="H20" s="5"/>
    </row>
    <row r="21" spans="1:8" s="7" customFormat="1" ht="18.75">
      <c r="A21" s="57"/>
      <c r="B21" s="35"/>
      <c r="C21" s="54"/>
      <c r="D21" s="36"/>
      <c r="E21" s="37"/>
      <c r="F21" s="34"/>
      <c r="H21" s="5"/>
    </row>
    <row r="22" spans="1:8" s="7" customFormat="1" ht="18.75">
      <c r="A22" s="57"/>
      <c r="B22" s="35"/>
      <c r="C22" s="54"/>
      <c r="D22" s="36"/>
      <c r="E22" s="37"/>
      <c r="F22" s="34"/>
      <c r="H22" s="5"/>
    </row>
    <row r="23" spans="1:8" s="7" customFormat="1" ht="18.75">
      <c r="A23" s="57"/>
      <c r="B23" s="35"/>
      <c r="C23" s="54"/>
      <c r="D23" s="36"/>
      <c r="E23" s="37"/>
      <c r="F23" s="34"/>
      <c r="H23" s="5"/>
    </row>
    <row r="24" spans="1:8" s="7" customFormat="1" ht="18.75">
      <c r="A24" s="57"/>
      <c r="B24" s="35"/>
      <c r="C24" s="36"/>
      <c r="D24" s="36"/>
      <c r="E24" s="37"/>
      <c r="F24" s="34"/>
      <c r="H24" s="5"/>
    </row>
    <row r="25" spans="1:8" s="9" customFormat="1" ht="18.75">
      <c r="A25" s="57"/>
      <c r="B25" s="35"/>
      <c r="C25" s="55"/>
      <c r="D25" s="36"/>
      <c r="E25" s="37"/>
      <c r="F25" s="34"/>
      <c r="H25" s="8"/>
    </row>
    <row r="26" spans="1:8" s="7" customFormat="1" ht="18.75">
      <c r="A26" s="57"/>
      <c r="B26" s="35"/>
      <c r="C26" s="55"/>
      <c r="D26" s="36"/>
      <c r="E26" s="37"/>
      <c r="F26" s="34"/>
      <c r="H26" s="5"/>
    </row>
    <row r="27" spans="1:8" s="7" customFormat="1">
      <c r="A27" s="59"/>
      <c r="B27" s="57" t="s">
        <v>111</v>
      </c>
      <c r="C27" s="55"/>
      <c r="D27" s="36"/>
      <c r="E27" s="78">
        <f>SUM(E4:E26)</f>
        <v>11000</v>
      </c>
      <c r="F27" s="34"/>
      <c r="G27" s="39"/>
      <c r="H27" s="5"/>
    </row>
    <row r="28" spans="1:8" s="7" customFormat="1" ht="18.75">
      <c r="A28" s="57"/>
      <c r="B28" s="35"/>
      <c r="C28" s="55"/>
      <c r="D28" s="36"/>
      <c r="E28" s="37"/>
      <c r="F28" s="34"/>
      <c r="G28" s="39"/>
      <c r="H28" s="5"/>
    </row>
    <row r="29" spans="1:8" s="7" customFormat="1" ht="18.75">
      <c r="A29" s="57"/>
      <c r="B29" s="35"/>
      <c r="C29" s="55"/>
      <c r="D29" s="36"/>
      <c r="E29" s="37"/>
      <c r="F29" s="34"/>
      <c r="G29" s="39"/>
      <c r="H29" s="5"/>
    </row>
  </sheetData>
  <mergeCells count="2">
    <mergeCell ref="A2:F2"/>
    <mergeCell ref="A1:F1"/>
  </mergeCells>
  <pageMargins left="0.7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( พ )แผ่นที่ 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38"/>
  <sheetViews>
    <sheetView view="pageBreakPreview" topLeftCell="A2" zoomScaleSheetLayoutView="100" workbookViewId="0">
      <selection activeCell="M11" sqref="M11"/>
    </sheetView>
  </sheetViews>
  <sheetFormatPr defaultRowHeight="21.75"/>
  <cols>
    <col min="1" max="1" width="6.140625" style="1" customWidth="1"/>
    <col min="2" max="6" width="6.85546875" style="1" customWidth="1"/>
    <col min="7" max="7" width="7.7109375" style="1" customWidth="1"/>
    <col min="8" max="8" width="8.42578125" style="1" customWidth="1"/>
    <col min="9" max="11" width="11.7109375" style="1" customWidth="1"/>
    <col min="12" max="12" width="11.5703125" style="1" customWidth="1"/>
    <col min="13" max="13" width="67.28515625" style="1" customWidth="1"/>
    <col min="14" max="16384" width="9.140625" style="1"/>
  </cols>
  <sheetData>
    <row r="1" spans="1:12" ht="23.1" hidden="1" customHeight="1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>
      <c r="A2" s="656" t="s">
        <v>48</v>
      </c>
      <c r="B2" s="656"/>
      <c r="C2" s="656"/>
      <c r="D2" s="656"/>
      <c r="E2" s="656"/>
      <c r="F2" s="656"/>
      <c r="G2" s="656"/>
      <c r="H2" s="656"/>
      <c r="I2" s="656"/>
      <c r="J2" s="656"/>
      <c r="K2" s="656"/>
      <c r="L2" s="656"/>
    </row>
    <row r="3" spans="1:12">
      <c r="A3" s="657" t="s">
        <v>49</v>
      </c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</row>
    <row r="4" spans="1:12">
      <c r="A4" s="4" t="s">
        <v>112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2" t="s">
        <v>93</v>
      </c>
      <c r="B5" s="12"/>
      <c r="C5" s="12"/>
      <c r="D5" s="11" t="str">
        <f>+'แบบ ปร.6'!B2</f>
        <v xml:space="preserve">งานก่อสร้างอาคารพักประทวน ขนาด 64 ครอบครัว พร้อมระบบสาธารณูปโภคและสิ่งอำนวยความสะดวก </v>
      </c>
      <c r="E5" s="12"/>
      <c r="F5" s="12"/>
      <c r="G5" s="12"/>
      <c r="H5" s="12"/>
      <c r="I5" s="16"/>
      <c r="J5" s="12"/>
      <c r="K5" s="12"/>
      <c r="L5" s="12"/>
    </row>
    <row r="6" spans="1:12">
      <c r="A6" s="12" t="s">
        <v>97</v>
      </c>
      <c r="B6" s="12"/>
      <c r="C6" s="12"/>
      <c r="D6" s="11" t="str">
        <f>+'แบบ ปร.6'!B4</f>
        <v>อ.บ้านฉาง จว.ระยอง</v>
      </c>
      <c r="E6" s="12"/>
      <c r="F6" s="12"/>
      <c r="G6" s="12" t="s">
        <v>14</v>
      </c>
      <c r="H6" s="16" t="str">
        <f>+'แบบ ปร.6'!B5</f>
        <v>62 - 2 - 083 , 61 - 2 - 040 , 58 - 2 - 059 , 61 - 2 - 070 , 62 - 4 - 014 , 62 - 5 - 032</v>
      </c>
      <c r="J6" s="12"/>
      <c r="K6" s="12"/>
      <c r="L6" s="12"/>
    </row>
    <row r="7" spans="1:12">
      <c r="A7" s="12" t="s">
        <v>113</v>
      </c>
      <c r="B7" s="12"/>
      <c r="C7" s="12"/>
      <c r="D7" s="11" t="str">
        <f>+'แบบ ปร.6'!C6</f>
        <v>กบร.กร.</v>
      </c>
      <c r="E7" s="12"/>
      <c r="F7" s="4"/>
      <c r="G7" s="4"/>
      <c r="H7" s="12"/>
      <c r="I7" s="16"/>
      <c r="J7" s="12"/>
      <c r="K7" s="12"/>
      <c r="L7" s="12"/>
    </row>
    <row r="8" spans="1:12">
      <c r="A8" s="12" t="s">
        <v>114</v>
      </c>
      <c r="B8" s="12"/>
      <c r="C8" s="12"/>
      <c r="D8" s="80" t="s">
        <v>115</v>
      </c>
      <c r="E8" s="12"/>
      <c r="F8" s="12"/>
      <c r="G8" s="12"/>
      <c r="H8" s="12">
        <f>+'แบบ ปร.6'!B8</f>
        <v>0</v>
      </c>
      <c r="I8" s="12"/>
      <c r="J8" s="12"/>
      <c r="K8" s="12"/>
      <c r="L8" s="12"/>
    </row>
    <row r="9" spans="1:12" s="3" customFormat="1">
      <c r="A9" s="79" t="s">
        <v>44</v>
      </c>
      <c r="B9" s="12"/>
      <c r="C9" s="12"/>
      <c r="D9" s="12"/>
      <c r="E9" s="12"/>
      <c r="F9" s="12"/>
      <c r="G9" s="12"/>
      <c r="H9" s="12"/>
      <c r="I9" s="11"/>
      <c r="J9" s="11"/>
      <c r="K9" s="11"/>
      <c r="L9" s="11"/>
    </row>
    <row r="10" spans="1:12" s="13" customFormat="1">
      <c r="A10" s="17" t="s">
        <v>50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s="14" customFormat="1">
      <c r="A11" s="1" t="s">
        <v>52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4" t="s">
        <v>51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 t="s">
        <v>53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 t="s">
        <v>54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10" t="s">
        <v>72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s="3" customFormat="1">
      <c r="A16" s="19" t="s">
        <v>45</v>
      </c>
      <c r="B16" s="17"/>
      <c r="C16" s="17"/>
      <c r="D16" s="17"/>
      <c r="E16" s="17"/>
      <c r="F16" s="17"/>
      <c r="G16" s="17"/>
      <c r="H16" s="17"/>
      <c r="I16" s="19"/>
      <c r="J16" s="19"/>
      <c r="K16" s="19"/>
      <c r="L16" s="19"/>
    </row>
    <row r="17" spans="1:13">
      <c r="A17" s="20" t="s">
        <v>6</v>
      </c>
      <c r="B17" s="658" t="s">
        <v>34</v>
      </c>
      <c r="C17" s="658"/>
      <c r="D17" s="658"/>
      <c r="E17" s="658"/>
      <c r="F17" s="658"/>
      <c r="G17" s="658"/>
      <c r="H17" s="20" t="s">
        <v>2</v>
      </c>
      <c r="I17" s="20" t="s">
        <v>3</v>
      </c>
      <c r="J17" s="20" t="s">
        <v>35</v>
      </c>
      <c r="K17" s="20" t="s">
        <v>36</v>
      </c>
      <c r="L17" s="21" t="s">
        <v>8</v>
      </c>
    </row>
    <row r="18" spans="1:13">
      <c r="A18" s="22">
        <v>1</v>
      </c>
      <c r="B18" s="654" t="s">
        <v>37</v>
      </c>
      <c r="C18" s="654"/>
      <c r="D18" s="654"/>
      <c r="E18" s="654"/>
      <c r="F18" s="654"/>
      <c r="G18" s="654"/>
      <c r="H18" s="20"/>
      <c r="I18" s="20"/>
      <c r="J18" s="20"/>
      <c r="K18" s="20"/>
      <c r="L18" s="20"/>
    </row>
    <row r="19" spans="1:13">
      <c r="A19" s="20">
        <v>1.1000000000000001</v>
      </c>
      <c r="B19" s="654" t="s">
        <v>56</v>
      </c>
      <c r="C19" s="654"/>
      <c r="D19" s="654"/>
      <c r="E19" s="654"/>
      <c r="F19" s="654"/>
      <c r="G19" s="654"/>
      <c r="H19" s="20"/>
      <c r="I19" s="23" t="s">
        <v>38</v>
      </c>
      <c r="J19" s="24">
        <v>15000</v>
      </c>
      <c r="K19" s="24">
        <f>H19*J19</f>
        <v>0</v>
      </c>
      <c r="L19" s="20"/>
    </row>
    <row r="20" spans="1:13">
      <c r="A20" s="20">
        <v>1.2</v>
      </c>
      <c r="B20" s="654" t="s">
        <v>57</v>
      </c>
      <c r="C20" s="654"/>
      <c r="D20" s="654"/>
      <c r="E20" s="654"/>
      <c r="F20" s="654"/>
      <c r="G20" s="654"/>
      <c r="H20" s="20"/>
      <c r="I20" s="23" t="s">
        <v>19</v>
      </c>
      <c r="J20" s="23">
        <v>50000</v>
      </c>
      <c r="K20" s="24">
        <f>H20*J20</f>
        <v>0</v>
      </c>
      <c r="L20" s="25"/>
    </row>
    <row r="21" spans="1:13">
      <c r="A21" s="20">
        <v>1.3</v>
      </c>
      <c r="B21" s="654" t="s">
        <v>58</v>
      </c>
      <c r="C21" s="654"/>
      <c r="D21" s="654"/>
      <c r="E21" s="654"/>
      <c r="F21" s="654"/>
      <c r="G21" s="654"/>
      <c r="H21" s="20"/>
      <c r="I21" s="23" t="s">
        <v>19</v>
      </c>
      <c r="J21" s="24">
        <v>20000</v>
      </c>
      <c r="K21" s="24">
        <f>H21*J21</f>
        <v>0</v>
      </c>
      <c r="L21" s="20"/>
    </row>
    <row r="22" spans="1:13">
      <c r="A22" s="20">
        <v>1.4</v>
      </c>
      <c r="B22" s="654" t="s">
        <v>59</v>
      </c>
      <c r="C22" s="654"/>
      <c r="D22" s="654"/>
      <c r="E22" s="654"/>
      <c r="F22" s="654"/>
      <c r="G22" s="654"/>
      <c r="H22" s="20"/>
      <c r="I22" s="23" t="s">
        <v>19</v>
      </c>
      <c r="J22" s="24">
        <v>80000</v>
      </c>
      <c r="K22" s="24">
        <f>H22*J22</f>
        <v>0</v>
      </c>
      <c r="L22" s="20"/>
    </row>
    <row r="23" spans="1:13">
      <c r="A23" s="20"/>
      <c r="B23" s="652" t="s">
        <v>62</v>
      </c>
      <c r="C23" s="652"/>
      <c r="D23" s="652"/>
      <c r="E23" s="652"/>
      <c r="F23" s="652"/>
      <c r="G23" s="653"/>
      <c r="H23" s="26"/>
      <c r="I23" s="27"/>
      <c r="J23" s="27"/>
      <c r="K23" s="28">
        <f>SUM(K19:K22)</f>
        <v>0</v>
      </c>
      <c r="L23" s="20"/>
    </row>
    <row r="24" spans="1:13">
      <c r="A24" s="22">
        <v>3</v>
      </c>
      <c r="B24" s="654" t="s">
        <v>79</v>
      </c>
      <c r="C24" s="654"/>
      <c r="D24" s="654"/>
      <c r="E24" s="654"/>
      <c r="F24" s="654"/>
      <c r="G24" s="655"/>
      <c r="H24" s="29"/>
      <c r="I24" s="23"/>
      <c r="J24" s="24"/>
      <c r="K24" s="24"/>
      <c r="L24" s="20"/>
    </row>
    <row r="25" spans="1:13">
      <c r="A25" s="20">
        <v>3.1</v>
      </c>
      <c r="B25" s="654" t="s">
        <v>67</v>
      </c>
      <c r="C25" s="654"/>
      <c r="D25" s="654"/>
      <c r="E25" s="654"/>
      <c r="F25" s="654"/>
      <c r="G25" s="654"/>
      <c r="H25" s="20"/>
      <c r="I25" s="23" t="s">
        <v>41</v>
      </c>
      <c r="J25" s="24">
        <v>2500</v>
      </c>
      <c r="K25" s="24">
        <f t="shared" ref="K25:K30" si="0">H25*J25</f>
        <v>0</v>
      </c>
      <c r="L25" s="20"/>
    </row>
    <row r="26" spans="1:13">
      <c r="A26" s="20">
        <v>3.2</v>
      </c>
      <c r="B26" s="654" t="s">
        <v>68</v>
      </c>
      <c r="C26" s="654"/>
      <c r="D26" s="654"/>
      <c r="E26" s="654"/>
      <c r="F26" s="654"/>
      <c r="G26" s="654"/>
      <c r="H26" s="20"/>
      <c r="I26" s="23" t="s">
        <v>39</v>
      </c>
      <c r="J26" s="24">
        <v>150000</v>
      </c>
      <c r="K26" s="24">
        <f t="shared" si="0"/>
        <v>0</v>
      </c>
      <c r="L26" s="20"/>
    </row>
    <row r="27" spans="1:13">
      <c r="A27" s="20">
        <v>3.3</v>
      </c>
      <c r="B27" s="654" t="s">
        <v>60</v>
      </c>
      <c r="C27" s="654"/>
      <c r="D27" s="654"/>
      <c r="E27" s="654"/>
      <c r="F27" s="654"/>
      <c r="G27" s="654"/>
      <c r="H27" s="20"/>
      <c r="I27" s="23"/>
      <c r="J27" s="24"/>
      <c r="K27" s="24"/>
      <c r="L27" s="20"/>
    </row>
    <row r="28" spans="1:13">
      <c r="A28" s="20"/>
      <c r="B28" s="30" t="s">
        <v>69</v>
      </c>
      <c r="C28" s="30"/>
      <c r="D28" s="30"/>
      <c r="E28" s="30"/>
      <c r="F28" s="31"/>
      <c r="G28" s="32"/>
      <c r="H28" s="20"/>
      <c r="I28" s="23" t="s">
        <v>40</v>
      </c>
      <c r="J28" s="24">
        <v>30000</v>
      </c>
      <c r="K28" s="24">
        <f t="shared" ref="K28" si="1">H28*J28</f>
        <v>0</v>
      </c>
      <c r="L28" s="20"/>
    </row>
    <row r="29" spans="1:13">
      <c r="A29" s="20">
        <v>3.5</v>
      </c>
      <c r="B29" s="654" t="s">
        <v>61</v>
      </c>
      <c r="C29" s="654"/>
      <c r="D29" s="654"/>
      <c r="E29" s="654"/>
      <c r="F29" s="654"/>
      <c r="G29" s="654"/>
      <c r="H29" s="20"/>
      <c r="I29" s="23" t="s">
        <v>40</v>
      </c>
      <c r="J29" s="24">
        <v>25000</v>
      </c>
      <c r="K29" s="24">
        <f t="shared" si="0"/>
        <v>0</v>
      </c>
      <c r="L29" s="20"/>
      <c r="M29" s="1" t="s">
        <v>71</v>
      </c>
    </row>
    <row r="30" spans="1:13">
      <c r="A30" s="20">
        <v>3.6</v>
      </c>
      <c r="B30" s="654" t="s">
        <v>63</v>
      </c>
      <c r="C30" s="654"/>
      <c r="D30" s="654"/>
      <c r="E30" s="654"/>
      <c r="F30" s="654"/>
      <c r="G30" s="654"/>
      <c r="H30" s="20"/>
      <c r="I30" s="23" t="s">
        <v>19</v>
      </c>
      <c r="J30" s="24">
        <f>0.05*10400000</f>
        <v>520000</v>
      </c>
      <c r="K30" s="24">
        <f t="shared" si="0"/>
        <v>0</v>
      </c>
      <c r="L30" s="20"/>
      <c r="M30" s="1" t="s">
        <v>80</v>
      </c>
    </row>
    <row r="31" spans="1:13">
      <c r="A31" s="20">
        <v>3.7</v>
      </c>
      <c r="B31" s="654" t="s">
        <v>70</v>
      </c>
      <c r="C31" s="654"/>
      <c r="D31" s="654"/>
      <c r="E31" s="654"/>
      <c r="F31" s="654"/>
      <c r="G31" s="654"/>
      <c r="H31" s="20"/>
      <c r="I31" s="23" t="s">
        <v>19</v>
      </c>
      <c r="J31" s="24">
        <f>0.35*600000</f>
        <v>210000</v>
      </c>
      <c r="K31" s="24">
        <f t="shared" ref="K31" si="2">H31*J31</f>
        <v>0</v>
      </c>
      <c r="L31" s="20"/>
      <c r="M31" s="1" t="s">
        <v>78</v>
      </c>
    </row>
    <row r="32" spans="1:13">
      <c r="A32" s="20"/>
      <c r="B32" s="652" t="s">
        <v>64</v>
      </c>
      <c r="C32" s="652"/>
      <c r="D32" s="652"/>
      <c r="E32" s="652"/>
      <c r="F32" s="652"/>
      <c r="G32" s="653"/>
      <c r="H32" s="26"/>
      <c r="I32" s="27"/>
      <c r="J32" s="27"/>
      <c r="K32" s="28">
        <f>SUM(K25:K31)</f>
        <v>0</v>
      </c>
      <c r="L32" s="20"/>
    </row>
    <row r="33" spans="1:13">
      <c r="A33" s="22">
        <v>4</v>
      </c>
      <c r="B33" s="30" t="s">
        <v>76</v>
      </c>
      <c r="C33" s="30"/>
      <c r="D33" s="30"/>
      <c r="E33" s="30"/>
      <c r="F33" s="31"/>
      <c r="G33" s="32"/>
      <c r="H33" s="20"/>
      <c r="I33" s="23" t="s">
        <v>39</v>
      </c>
      <c r="J33" s="24">
        <v>51000</v>
      </c>
      <c r="K33" s="33">
        <f>H33*J33</f>
        <v>0</v>
      </c>
      <c r="L33" s="20"/>
      <c r="M33" s="1" t="s">
        <v>77</v>
      </c>
    </row>
    <row r="34" spans="1:13">
      <c r="A34" s="22">
        <v>5</v>
      </c>
      <c r="B34" s="30" t="s">
        <v>66</v>
      </c>
      <c r="C34" s="31"/>
      <c r="D34" s="15"/>
      <c r="E34" s="15"/>
      <c r="F34" s="15"/>
      <c r="G34" s="32"/>
      <c r="H34" s="20"/>
      <c r="I34" s="23" t="s">
        <v>65</v>
      </c>
      <c r="J34" s="24">
        <v>1500</v>
      </c>
      <c r="K34" s="33">
        <f>H34*J34</f>
        <v>0</v>
      </c>
      <c r="L34" s="20"/>
    </row>
    <row r="35" spans="1:13">
      <c r="A35" s="22"/>
      <c r="B35" s="62"/>
      <c r="C35" s="15"/>
      <c r="D35" s="15"/>
      <c r="E35" s="15"/>
      <c r="F35" s="15"/>
      <c r="G35" s="32"/>
      <c r="H35" s="61"/>
      <c r="I35" s="23"/>
      <c r="J35" s="24"/>
      <c r="K35" s="33"/>
      <c r="L35" s="61"/>
    </row>
    <row r="36" spans="1:13">
      <c r="A36" s="90"/>
      <c r="B36" s="12"/>
      <c r="C36" s="12"/>
      <c r="D36" s="12"/>
      <c r="E36" s="11" t="s">
        <v>42</v>
      </c>
      <c r="F36" s="11"/>
      <c r="G36" s="87"/>
      <c r="H36" s="83"/>
      <c r="I36" s="83"/>
      <c r="J36" s="83"/>
      <c r="K36" s="84"/>
      <c r="L36" s="20"/>
    </row>
    <row r="37" spans="1:13">
      <c r="A37" s="90"/>
      <c r="B37" s="12"/>
      <c r="C37" s="12"/>
      <c r="D37" s="12"/>
      <c r="E37" s="11" t="s">
        <v>43</v>
      </c>
      <c r="F37" s="11"/>
      <c r="G37" s="87"/>
      <c r="H37" s="85"/>
      <c r="I37" s="85"/>
      <c r="J37" s="85"/>
      <c r="K37" s="86"/>
      <c r="L37" s="20"/>
    </row>
    <row r="38" spans="1:13">
      <c r="A38" s="90"/>
      <c r="B38" s="10"/>
      <c r="C38" s="10"/>
      <c r="D38" s="10"/>
      <c r="E38" s="88" t="s">
        <v>55</v>
      </c>
      <c r="F38" s="88"/>
      <c r="G38" s="89"/>
      <c r="H38" s="81"/>
      <c r="I38" s="81"/>
      <c r="J38" s="81"/>
      <c r="K38" s="82"/>
      <c r="L38" s="20"/>
    </row>
  </sheetData>
  <mergeCells count="17">
    <mergeCell ref="A2:L2"/>
    <mergeCell ref="A3:L3"/>
    <mergeCell ref="B17:G17"/>
    <mergeCell ref="B32:G32"/>
    <mergeCell ref="B31:G31"/>
    <mergeCell ref="B18:G18"/>
    <mergeCell ref="B19:G19"/>
    <mergeCell ref="B20:G20"/>
    <mergeCell ref="B21:G21"/>
    <mergeCell ref="B22:G22"/>
    <mergeCell ref="B23:G23"/>
    <mergeCell ref="B24:G24"/>
    <mergeCell ref="B29:G29"/>
    <mergeCell ref="B30:G30"/>
    <mergeCell ref="B25:G25"/>
    <mergeCell ref="B26:G26"/>
    <mergeCell ref="B27:G27"/>
  </mergeCells>
  <pageMargins left="0.70866141732283472" right="0.19685039370078741" top="0.43307086614173229" bottom="0.74803149606299213" header="0.31496062992125984" footer="0.31496062992125984"/>
  <pageSetup paperSize="9" orientation="portrait" horizontalDpi="1200" verticalDpi="1200" r:id="rId1"/>
  <headerFooter>
    <oddHeader>&amp;Rแบบ ปร. 4 ( พ )แผ่นที่ 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Q30"/>
  <sheetViews>
    <sheetView topLeftCell="A4" workbookViewId="0">
      <selection activeCell="A11" sqref="A11"/>
    </sheetView>
  </sheetViews>
  <sheetFormatPr defaultRowHeight="24"/>
  <cols>
    <col min="1" max="1" width="13.85546875" style="18" customWidth="1"/>
    <col min="2" max="5" width="9.140625" style="18"/>
    <col min="11" max="12" width="10.7109375" bestFit="1" customWidth="1"/>
  </cols>
  <sheetData>
    <row r="1" spans="1:17" ht="22.5" thickBot="1">
      <c r="A1" s="109">
        <v>1</v>
      </c>
      <c r="B1" s="109">
        <v>2</v>
      </c>
      <c r="C1" s="109">
        <v>3</v>
      </c>
      <c r="D1" s="109">
        <v>4</v>
      </c>
      <c r="E1" s="109">
        <v>5</v>
      </c>
      <c r="F1" s="109">
        <v>6</v>
      </c>
      <c r="G1" s="109">
        <v>7</v>
      </c>
      <c r="H1" s="109">
        <v>8</v>
      </c>
      <c r="I1" s="109">
        <v>9</v>
      </c>
      <c r="J1" s="109">
        <v>10</v>
      </c>
      <c r="K1" s="109">
        <v>11</v>
      </c>
      <c r="L1" s="109">
        <v>12</v>
      </c>
      <c r="M1" s="109">
        <v>13</v>
      </c>
      <c r="N1" s="109">
        <v>14</v>
      </c>
      <c r="O1" s="109">
        <v>15</v>
      </c>
      <c r="P1" s="109">
        <v>16</v>
      </c>
      <c r="Q1" s="109">
        <v>17</v>
      </c>
    </row>
    <row r="2" spans="1:17" ht="30.75" thickTop="1" thickBot="1">
      <c r="A2" s="98" t="s">
        <v>116</v>
      </c>
      <c r="B2" s="116">
        <v>0</v>
      </c>
      <c r="C2" s="117"/>
      <c r="D2" s="117"/>
      <c r="E2" s="118"/>
      <c r="F2" s="119">
        <v>0.05</v>
      </c>
      <c r="G2" s="120"/>
      <c r="H2" s="120"/>
      <c r="I2" s="121"/>
      <c r="J2" s="119">
        <v>0.1</v>
      </c>
      <c r="K2" s="120"/>
      <c r="L2" s="120"/>
      <c r="M2" s="121"/>
      <c r="N2" s="659"/>
      <c r="O2" s="660"/>
      <c r="P2" s="660"/>
      <c r="Q2" s="661"/>
    </row>
    <row r="3" spans="1:17" ht="25.5" thickTop="1" thickBot="1">
      <c r="A3" s="91"/>
      <c r="B3" s="662" t="s">
        <v>46</v>
      </c>
      <c r="C3" s="663"/>
      <c r="D3" s="663"/>
      <c r="E3" s="664"/>
      <c r="F3" s="662" t="s">
        <v>46</v>
      </c>
      <c r="G3" s="663"/>
      <c r="H3" s="663"/>
      <c r="I3" s="664"/>
      <c r="J3" s="662" t="s">
        <v>46</v>
      </c>
      <c r="K3" s="663"/>
      <c r="L3" s="663"/>
      <c r="M3" s="664"/>
      <c r="N3" s="662"/>
      <c r="O3" s="663"/>
      <c r="P3" s="663"/>
      <c r="Q3" s="664"/>
    </row>
    <row r="4" spans="1:17" ht="24.75" thickTop="1">
      <c r="A4" s="92" t="s">
        <v>47</v>
      </c>
      <c r="B4" s="115">
        <v>0</v>
      </c>
      <c r="C4" s="105">
        <v>0.05</v>
      </c>
      <c r="D4" s="96">
        <v>0.1</v>
      </c>
      <c r="E4" s="97">
        <v>0.15</v>
      </c>
      <c r="F4" s="95">
        <v>0</v>
      </c>
      <c r="G4" s="96">
        <v>0.05</v>
      </c>
      <c r="H4" s="96">
        <v>0.1</v>
      </c>
      <c r="I4" s="97">
        <v>0.15</v>
      </c>
      <c r="J4" s="115">
        <v>0</v>
      </c>
      <c r="K4" s="105">
        <v>0.05</v>
      </c>
      <c r="L4" s="96">
        <v>0.1</v>
      </c>
      <c r="M4" s="97">
        <v>0.15</v>
      </c>
      <c r="N4" s="95"/>
      <c r="O4" s="96"/>
      <c r="P4" s="96"/>
      <c r="Q4" s="97"/>
    </row>
    <row r="5" spans="1:17">
      <c r="A5" s="93">
        <v>0</v>
      </c>
      <c r="B5" s="99">
        <v>1.3073999999999999</v>
      </c>
      <c r="C5" s="106">
        <v>1.3065</v>
      </c>
      <c r="D5" s="101">
        <v>1.3055000000000001</v>
      </c>
      <c r="E5" s="103">
        <v>1.3046</v>
      </c>
      <c r="F5" s="99">
        <v>1.3078000000000001</v>
      </c>
      <c r="G5" s="100">
        <v>1.3069</v>
      </c>
      <c r="H5" s="101">
        <v>1.3059000000000001</v>
      </c>
      <c r="I5" s="103">
        <v>1.3049999999999999</v>
      </c>
      <c r="J5" s="99">
        <v>1.3082</v>
      </c>
      <c r="K5" s="106">
        <v>1.3072999999999999</v>
      </c>
      <c r="L5" s="101">
        <v>1.3063</v>
      </c>
      <c r="M5" s="103">
        <v>1.3053999999999999</v>
      </c>
      <c r="N5" s="99"/>
      <c r="O5" s="100"/>
      <c r="P5" s="101"/>
      <c r="Q5" s="103"/>
    </row>
    <row r="6" spans="1:17">
      <c r="A6" s="93">
        <v>0.5</v>
      </c>
      <c r="B6" s="99">
        <v>1.3073999999999999</v>
      </c>
      <c r="C6" s="106">
        <v>1.3065</v>
      </c>
      <c r="D6" s="101">
        <v>1.3055000000000001</v>
      </c>
      <c r="E6" s="103">
        <v>1.3046</v>
      </c>
      <c r="F6" s="99">
        <v>1.3078000000000001</v>
      </c>
      <c r="G6" s="100">
        <v>1.3069</v>
      </c>
      <c r="H6" s="101">
        <v>1.3059000000000001</v>
      </c>
      <c r="I6" s="103">
        <v>1.3049999999999999</v>
      </c>
      <c r="J6" s="99">
        <v>1.3082</v>
      </c>
      <c r="K6" s="106">
        <v>1.3072999999999999</v>
      </c>
      <c r="L6" s="101">
        <v>1.3063</v>
      </c>
      <c r="M6" s="103">
        <v>1.3053999999999999</v>
      </c>
      <c r="N6" s="99"/>
      <c r="O6" s="100"/>
      <c r="P6" s="101"/>
      <c r="Q6" s="103"/>
    </row>
    <row r="7" spans="1:17">
      <c r="A7" s="93">
        <v>1</v>
      </c>
      <c r="B7" s="99">
        <v>1.3049999999999999</v>
      </c>
      <c r="C7" s="106">
        <v>1.304</v>
      </c>
      <c r="D7" s="101">
        <v>1.3028999999999999</v>
      </c>
      <c r="E7" s="103">
        <v>1.3018000000000001</v>
      </c>
      <c r="F7" s="99">
        <v>1.3056000000000001</v>
      </c>
      <c r="G7" s="100">
        <v>1.3045</v>
      </c>
      <c r="H7" s="101">
        <v>1.3033999999999999</v>
      </c>
      <c r="I7" s="103">
        <v>1.3024</v>
      </c>
      <c r="J7" s="99">
        <v>1.3061</v>
      </c>
      <c r="K7" s="106">
        <v>1.3049999999999999</v>
      </c>
      <c r="L7" s="101">
        <v>1.304</v>
      </c>
      <c r="M7" s="103">
        <v>1.3028999999999999</v>
      </c>
      <c r="N7" s="99"/>
      <c r="O7" s="100"/>
      <c r="P7" s="101"/>
      <c r="Q7" s="103"/>
    </row>
    <row r="8" spans="1:17">
      <c r="A8" s="93">
        <v>2</v>
      </c>
      <c r="B8" s="99">
        <v>1.3035000000000001</v>
      </c>
      <c r="C8" s="106">
        <v>1.3023</v>
      </c>
      <c r="D8" s="101">
        <v>1.3010999999999999</v>
      </c>
      <c r="E8" s="103">
        <v>1.2999000000000001</v>
      </c>
      <c r="F8" s="99">
        <v>1.3042</v>
      </c>
      <c r="G8" s="100">
        <v>1.3029999999999999</v>
      </c>
      <c r="H8" s="101">
        <v>1.3018000000000001</v>
      </c>
      <c r="I8" s="103">
        <v>1.3006</v>
      </c>
      <c r="J8" s="99">
        <v>1.3048999999999999</v>
      </c>
      <c r="K8" s="106">
        <v>1.3036000000000001</v>
      </c>
      <c r="L8" s="101">
        <v>1.3024</v>
      </c>
      <c r="M8" s="103">
        <v>1.3011999999999999</v>
      </c>
      <c r="N8" s="99"/>
      <c r="O8" s="100"/>
      <c r="P8" s="101"/>
      <c r="Q8" s="103"/>
    </row>
    <row r="9" spans="1:17">
      <c r="A9" s="93">
        <v>5</v>
      </c>
      <c r="B9" s="99">
        <v>1.3003</v>
      </c>
      <c r="C9" s="106">
        <v>1.2987</v>
      </c>
      <c r="D9" s="101">
        <v>1.2970999999999999</v>
      </c>
      <c r="E9" s="103">
        <v>1.2955000000000001</v>
      </c>
      <c r="F9" s="99">
        <v>1.3013999999999999</v>
      </c>
      <c r="G9" s="100">
        <v>1.2998000000000001</v>
      </c>
      <c r="H9" s="101">
        <v>1.2982</v>
      </c>
      <c r="I9" s="103">
        <v>1.2966</v>
      </c>
      <c r="J9" s="99">
        <v>1.3025</v>
      </c>
      <c r="K9" s="106">
        <v>1.3008999999999999</v>
      </c>
      <c r="L9" s="101">
        <v>1.2992999999999999</v>
      </c>
      <c r="M9" s="103">
        <v>1.2976000000000001</v>
      </c>
      <c r="N9" s="99"/>
      <c r="O9" s="100"/>
      <c r="P9" s="101"/>
      <c r="Q9" s="103"/>
    </row>
    <row r="10" spans="1:17">
      <c r="A10" s="93">
        <v>10</v>
      </c>
      <c r="B10" s="99">
        <v>1.2943</v>
      </c>
      <c r="C10" s="106">
        <v>1.2922</v>
      </c>
      <c r="D10" s="101">
        <v>1.2901</v>
      </c>
      <c r="E10" s="103">
        <v>1.2879</v>
      </c>
      <c r="F10" s="99">
        <v>1.296</v>
      </c>
      <c r="G10" s="100">
        <v>1.2938000000000001</v>
      </c>
      <c r="H10" s="101">
        <v>1.2917000000000001</v>
      </c>
      <c r="I10" s="103">
        <v>1.2895000000000001</v>
      </c>
      <c r="J10" s="99">
        <v>1.2976000000000001</v>
      </c>
      <c r="K10" s="106">
        <v>1.2954000000000001</v>
      </c>
      <c r="L10" s="101">
        <v>1.2932999999999999</v>
      </c>
      <c r="M10" s="103">
        <v>1.2910999999999999</v>
      </c>
      <c r="N10" s="99"/>
      <c r="O10" s="100"/>
      <c r="P10" s="101"/>
      <c r="Q10" s="103"/>
    </row>
    <row r="11" spans="1:17">
      <c r="A11" s="93">
        <v>15</v>
      </c>
      <c r="B11" s="99">
        <v>1.2594000000000001</v>
      </c>
      <c r="C11" s="106">
        <v>1.2573000000000001</v>
      </c>
      <c r="D11" s="101">
        <v>1.2551000000000001</v>
      </c>
      <c r="E11" s="103">
        <v>1.2529999999999999</v>
      </c>
      <c r="F11" s="99">
        <v>1.2609999999999999</v>
      </c>
      <c r="G11" s="100">
        <v>1.2588999999999999</v>
      </c>
      <c r="H11" s="101">
        <v>1.2566999999999999</v>
      </c>
      <c r="I11" s="103">
        <v>1.2545999999999999</v>
      </c>
      <c r="J11" s="99">
        <v>1.2625999999999999</v>
      </c>
      <c r="K11" s="106">
        <v>1.2605</v>
      </c>
      <c r="L11" s="101">
        <v>1.2583</v>
      </c>
      <c r="M11" s="103">
        <v>1.2562</v>
      </c>
      <c r="N11" s="99"/>
      <c r="O11" s="100"/>
      <c r="P11" s="101"/>
      <c r="Q11" s="103"/>
    </row>
    <row r="12" spans="1:17">
      <c r="A12" s="93">
        <v>20</v>
      </c>
      <c r="B12" s="99">
        <v>1.2518</v>
      </c>
      <c r="C12" s="106">
        <v>1.2495000000000001</v>
      </c>
      <c r="D12" s="101">
        <v>1.2472000000000001</v>
      </c>
      <c r="E12" s="103">
        <v>1.2450000000000001</v>
      </c>
      <c r="F12" s="99">
        <v>1.2535000000000001</v>
      </c>
      <c r="G12" s="100">
        <v>1.2513000000000001</v>
      </c>
      <c r="H12" s="101">
        <v>1.2490000000000001</v>
      </c>
      <c r="I12" s="103">
        <v>1.2466999999999999</v>
      </c>
      <c r="J12" s="99">
        <v>1.2553000000000001</v>
      </c>
      <c r="K12" s="106">
        <v>1.2529999999999999</v>
      </c>
      <c r="L12" s="101">
        <v>1.2057</v>
      </c>
      <c r="M12" s="103">
        <v>1.2484</v>
      </c>
      <c r="N12" s="99"/>
      <c r="O12" s="100"/>
      <c r="P12" s="101"/>
      <c r="Q12" s="103"/>
    </row>
    <row r="13" spans="1:17">
      <c r="A13" s="93">
        <v>25</v>
      </c>
      <c r="B13" s="99">
        <v>1.2248000000000001</v>
      </c>
      <c r="C13" s="106">
        <v>1.2224999999999999</v>
      </c>
      <c r="D13" s="101">
        <v>1.2202999999999999</v>
      </c>
      <c r="E13" s="103">
        <v>1.218</v>
      </c>
      <c r="F13" s="99">
        <v>1.2265999999999999</v>
      </c>
      <c r="G13" s="100">
        <v>1.2242999999999999</v>
      </c>
      <c r="H13" s="101">
        <v>1.222</v>
      </c>
      <c r="I13" s="103">
        <v>1.2197</v>
      </c>
      <c r="J13" s="99">
        <v>1.2282999999999999</v>
      </c>
      <c r="K13" s="106">
        <v>1.226</v>
      </c>
      <c r="L13" s="101">
        <v>1.2237</v>
      </c>
      <c r="M13" s="103">
        <v>1.2215</v>
      </c>
      <c r="N13" s="99"/>
      <c r="O13" s="100"/>
      <c r="P13" s="101"/>
      <c r="Q13" s="103"/>
    </row>
    <row r="14" spans="1:17">
      <c r="A14" s="93">
        <v>30</v>
      </c>
      <c r="B14" s="99">
        <v>1.2163999999999999</v>
      </c>
      <c r="C14" s="106">
        <v>1.214</v>
      </c>
      <c r="D14" s="101">
        <v>1.2116</v>
      </c>
      <c r="E14" s="103">
        <v>1.2092000000000001</v>
      </c>
      <c r="F14" s="99">
        <v>1.2182999999999999</v>
      </c>
      <c r="G14" s="100">
        <v>1.2159</v>
      </c>
      <c r="H14" s="101">
        <v>1.2135</v>
      </c>
      <c r="I14" s="103">
        <v>1.2111000000000001</v>
      </c>
      <c r="J14" s="99">
        <v>1.2202</v>
      </c>
      <c r="K14" s="106">
        <v>1.2178</v>
      </c>
      <c r="L14" s="101">
        <v>1.2154</v>
      </c>
      <c r="M14" s="103">
        <v>1.2130000000000001</v>
      </c>
      <c r="N14" s="99"/>
      <c r="O14" s="100"/>
      <c r="P14" s="101"/>
      <c r="Q14" s="103"/>
    </row>
    <row r="15" spans="1:17">
      <c r="A15" s="93">
        <v>40</v>
      </c>
      <c r="B15" s="99">
        <v>1.2161</v>
      </c>
      <c r="C15" s="106">
        <v>1.2136</v>
      </c>
      <c r="D15" s="101">
        <v>1.2112000000000001</v>
      </c>
      <c r="E15" s="103">
        <v>1.2088000000000001</v>
      </c>
      <c r="F15" s="99">
        <v>1.2179</v>
      </c>
      <c r="G15" s="100">
        <v>1.2155</v>
      </c>
      <c r="H15" s="101">
        <v>1.2131000000000001</v>
      </c>
      <c r="I15" s="103">
        <v>1.2107000000000001</v>
      </c>
      <c r="J15" s="99">
        <v>1.2198</v>
      </c>
      <c r="K15" s="106">
        <v>1.2174</v>
      </c>
      <c r="L15" s="101">
        <v>1.2150000000000001</v>
      </c>
      <c r="M15" s="103">
        <v>1.2125999999999999</v>
      </c>
      <c r="N15" s="99"/>
      <c r="O15" s="100"/>
      <c r="P15" s="101"/>
      <c r="Q15" s="103"/>
    </row>
    <row r="16" spans="1:17">
      <c r="A16" s="93">
        <v>50</v>
      </c>
      <c r="B16" s="99">
        <v>1.2159</v>
      </c>
      <c r="C16" s="106">
        <v>1.2133</v>
      </c>
      <c r="D16" s="101">
        <v>1.2105999999999999</v>
      </c>
      <c r="E16" s="103">
        <v>1.2079</v>
      </c>
      <c r="F16" s="99">
        <v>1.2181</v>
      </c>
      <c r="G16" s="100">
        <v>1.2154</v>
      </c>
      <c r="H16" s="101">
        <v>1.2126999999999999</v>
      </c>
      <c r="I16" s="103">
        <v>1.2101</v>
      </c>
      <c r="J16" s="99">
        <v>1.2202</v>
      </c>
      <c r="K16" s="106">
        <v>1.2175</v>
      </c>
      <c r="L16" s="101">
        <v>1.2149000000000001</v>
      </c>
      <c r="M16" s="103">
        <v>1.2121999999999999</v>
      </c>
      <c r="N16" s="99"/>
      <c r="O16" s="100"/>
      <c r="P16" s="101"/>
      <c r="Q16" s="103"/>
    </row>
    <row r="17" spans="1:17">
      <c r="A17" s="93">
        <v>60</v>
      </c>
      <c r="B17" s="99">
        <v>1.2060999999999999</v>
      </c>
      <c r="C17" s="106">
        <v>1.2035</v>
      </c>
      <c r="D17" s="101">
        <v>1.2008000000000001</v>
      </c>
      <c r="E17" s="103">
        <v>1.1980999999999999</v>
      </c>
      <c r="F17" s="99">
        <v>1.2082999999999999</v>
      </c>
      <c r="G17" s="100">
        <v>1.2056</v>
      </c>
      <c r="H17" s="101">
        <v>1.2029000000000001</v>
      </c>
      <c r="I17" s="103">
        <v>1.2001999999999999</v>
      </c>
      <c r="J17" s="99">
        <v>1.2103999999999999</v>
      </c>
      <c r="K17" s="106">
        <v>1.2077</v>
      </c>
      <c r="L17" s="101">
        <v>1.2054</v>
      </c>
      <c r="M17" s="103">
        <v>1.2023999999999999</v>
      </c>
      <c r="N17" s="99"/>
      <c r="O17" s="100"/>
      <c r="P17" s="101"/>
      <c r="Q17" s="103"/>
    </row>
    <row r="18" spans="1:17">
      <c r="A18" s="93">
        <v>70</v>
      </c>
      <c r="B18" s="99">
        <v>1.2050000000000001</v>
      </c>
      <c r="C18" s="106">
        <v>1.2021999999999999</v>
      </c>
      <c r="D18" s="101">
        <v>1.1994</v>
      </c>
      <c r="E18" s="103">
        <v>1.1966000000000001</v>
      </c>
      <c r="F18" s="99">
        <v>1.2073</v>
      </c>
      <c r="G18" s="100">
        <v>1.2044999999999999</v>
      </c>
      <c r="H18" s="101">
        <v>1.2017</v>
      </c>
      <c r="I18" s="103">
        <v>1.1989000000000001</v>
      </c>
      <c r="J18" s="99">
        <v>1.2096</v>
      </c>
      <c r="K18" s="106">
        <v>1.2068000000000001</v>
      </c>
      <c r="L18" s="101">
        <v>1.204</v>
      </c>
      <c r="M18" s="103">
        <v>1.2011000000000001</v>
      </c>
      <c r="N18" s="99"/>
      <c r="O18" s="100"/>
      <c r="P18" s="101"/>
      <c r="Q18" s="103"/>
    </row>
    <row r="19" spans="1:17">
      <c r="A19" s="93">
        <v>80</v>
      </c>
      <c r="B19" s="99">
        <v>1.2050000000000001</v>
      </c>
      <c r="C19" s="106">
        <v>1.2021999999999999</v>
      </c>
      <c r="D19" s="101">
        <v>1.1994</v>
      </c>
      <c r="E19" s="103">
        <v>1.1966000000000001</v>
      </c>
      <c r="F19" s="99">
        <v>1.2073</v>
      </c>
      <c r="G19" s="100">
        <v>1.2044999999999999</v>
      </c>
      <c r="H19" s="101">
        <v>1.2017</v>
      </c>
      <c r="I19" s="103">
        <v>1.1989000000000001</v>
      </c>
      <c r="J19" s="99">
        <v>1.2096</v>
      </c>
      <c r="K19" s="106">
        <v>1.2068000000000001</v>
      </c>
      <c r="L19" s="101">
        <v>1.204</v>
      </c>
      <c r="M19" s="103">
        <v>1.2011000000000001</v>
      </c>
      <c r="N19" s="99"/>
      <c r="O19" s="100"/>
      <c r="P19" s="101"/>
      <c r="Q19" s="103"/>
    </row>
    <row r="20" spans="1:17">
      <c r="A20" s="93">
        <v>90</v>
      </c>
      <c r="B20" s="99">
        <v>1.2049000000000001</v>
      </c>
      <c r="C20" s="106">
        <v>1.202</v>
      </c>
      <c r="D20" s="101">
        <v>1.1991000000000001</v>
      </c>
      <c r="E20" s="103">
        <v>1.1960999999999999</v>
      </c>
      <c r="F20" s="99">
        <v>1.2073</v>
      </c>
      <c r="G20" s="100">
        <v>1.2043999999999999</v>
      </c>
      <c r="H20" s="101">
        <v>1.2015</v>
      </c>
      <c r="I20" s="103">
        <v>1.1984999999999999</v>
      </c>
      <c r="J20" s="99">
        <v>1.2098</v>
      </c>
      <c r="K20" s="106">
        <v>1.2068000000000001</v>
      </c>
      <c r="L20" s="101">
        <v>1.2039</v>
      </c>
      <c r="M20" s="103">
        <v>1.2009000000000001</v>
      </c>
      <c r="N20" s="99"/>
      <c r="O20" s="100"/>
      <c r="P20" s="101"/>
      <c r="Q20" s="103"/>
    </row>
    <row r="21" spans="1:17">
      <c r="A21" s="93">
        <v>100</v>
      </c>
      <c r="B21" s="99">
        <v>1.2049000000000001</v>
      </c>
      <c r="C21" s="106">
        <v>1.202</v>
      </c>
      <c r="D21" s="101">
        <v>1.1991000000000001</v>
      </c>
      <c r="E21" s="103">
        <v>1.1960999999999999</v>
      </c>
      <c r="F21" s="99">
        <v>1.2073</v>
      </c>
      <c r="G21" s="100">
        <v>1.2043999999999999</v>
      </c>
      <c r="H21" s="101">
        <v>1.2015</v>
      </c>
      <c r="I21" s="103">
        <v>1.1984999999999999</v>
      </c>
      <c r="J21" s="99">
        <v>1.2098</v>
      </c>
      <c r="K21" s="106">
        <v>1.2068000000000001</v>
      </c>
      <c r="L21" s="101">
        <v>1.2039</v>
      </c>
      <c r="M21" s="103">
        <v>1.2009000000000001</v>
      </c>
      <c r="N21" s="99"/>
      <c r="O21" s="100"/>
      <c r="P21" s="101"/>
      <c r="Q21" s="103"/>
    </row>
    <row r="22" spans="1:17">
      <c r="A22" s="93">
        <v>150</v>
      </c>
      <c r="B22" s="99">
        <v>1.2022999999999999</v>
      </c>
      <c r="C22" s="106">
        <v>1.1991000000000001</v>
      </c>
      <c r="D22" s="101">
        <v>1.1958</v>
      </c>
      <c r="E22" s="103">
        <v>1.1926000000000001</v>
      </c>
      <c r="F22" s="99">
        <v>1.2049000000000001</v>
      </c>
      <c r="G22" s="100">
        <v>1.2017</v>
      </c>
      <c r="H22" s="101">
        <v>1.1984999999999999</v>
      </c>
      <c r="I22" s="103">
        <v>1.1953</v>
      </c>
      <c r="J22" s="99">
        <v>1.2076</v>
      </c>
      <c r="K22" s="106">
        <v>1.2043999999999999</v>
      </c>
      <c r="L22" s="101">
        <v>1.2012</v>
      </c>
      <c r="M22" s="103">
        <v>1.198</v>
      </c>
      <c r="N22" s="99"/>
      <c r="O22" s="100"/>
      <c r="P22" s="101"/>
      <c r="Q22" s="103"/>
    </row>
    <row r="23" spans="1:17">
      <c r="A23" s="93">
        <v>200</v>
      </c>
      <c r="B23" s="99">
        <v>1.2022999999999999</v>
      </c>
      <c r="C23" s="106">
        <v>1.1988000000000001</v>
      </c>
      <c r="D23" s="101">
        <v>1.1953</v>
      </c>
      <c r="E23" s="103">
        <v>1.1919</v>
      </c>
      <c r="F23" s="99">
        <v>1.2052</v>
      </c>
      <c r="G23" s="100">
        <v>1.2018</v>
      </c>
      <c r="H23" s="101">
        <v>1.1982999999999999</v>
      </c>
      <c r="I23" s="103">
        <v>1.1948000000000001</v>
      </c>
      <c r="J23" s="99">
        <v>1.2081999999999999</v>
      </c>
      <c r="K23" s="106">
        <v>1.2047000000000001</v>
      </c>
      <c r="L23" s="101">
        <v>1.2012</v>
      </c>
      <c r="M23" s="103">
        <v>1.1977</v>
      </c>
      <c r="N23" s="99"/>
      <c r="O23" s="100"/>
      <c r="P23" s="101"/>
      <c r="Q23" s="103"/>
    </row>
    <row r="24" spans="1:17">
      <c r="A24" s="93">
        <v>250</v>
      </c>
      <c r="B24" s="99">
        <v>1.2013</v>
      </c>
      <c r="C24" s="106">
        <v>1.1973</v>
      </c>
      <c r="D24" s="101">
        <v>1.1933</v>
      </c>
      <c r="E24" s="103">
        <v>1.1893</v>
      </c>
      <c r="F24" s="99">
        <v>1.2048000000000001</v>
      </c>
      <c r="G24" s="100">
        <v>1.2008000000000001</v>
      </c>
      <c r="H24" s="101">
        <v>1.1968000000000001</v>
      </c>
      <c r="I24" s="103">
        <v>1.1928000000000001</v>
      </c>
      <c r="J24" s="99">
        <v>1.2082999999999999</v>
      </c>
      <c r="K24" s="106">
        <v>1.2042999999999999</v>
      </c>
      <c r="L24" s="101">
        <v>1.2002999999999999</v>
      </c>
      <c r="M24" s="103">
        <v>1.1962999999999999</v>
      </c>
      <c r="N24" s="99"/>
      <c r="O24" s="100"/>
      <c r="P24" s="101"/>
      <c r="Q24" s="103"/>
    </row>
    <row r="25" spans="1:17">
      <c r="A25" s="93">
        <v>300</v>
      </c>
      <c r="B25" s="99">
        <v>1.1951000000000001</v>
      </c>
      <c r="C25" s="106">
        <v>1.1909000000000001</v>
      </c>
      <c r="D25" s="101">
        <v>1.1866000000000001</v>
      </c>
      <c r="E25" s="103">
        <v>1.1822999999999999</v>
      </c>
      <c r="F25" s="99">
        <v>1.1989000000000001</v>
      </c>
      <c r="G25" s="100">
        <v>1.1946000000000001</v>
      </c>
      <c r="H25" s="101">
        <v>1.1902999999999999</v>
      </c>
      <c r="I25" s="103">
        <v>1.1860999999999999</v>
      </c>
      <c r="J25" s="99">
        <v>1.2025999999999999</v>
      </c>
      <c r="K25" s="106">
        <v>1.1983999999999999</v>
      </c>
      <c r="L25" s="101">
        <v>1.1940999999999999</v>
      </c>
      <c r="M25" s="103">
        <v>1.1898</v>
      </c>
      <c r="N25" s="99"/>
      <c r="O25" s="100"/>
      <c r="P25" s="101"/>
      <c r="Q25" s="103"/>
    </row>
    <row r="26" spans="1:17">
      <c r="A26" s="93">
        <v>350</v>
      </c>
      <c r="B26" s="99">
        <v>1.1866000000000001</v>
      </c>
      <c r="C26" s="106">
        <v>1.1821999999999999</v>
      </c>
      <c r="D26" s="101">
        <v>1.1778</v>
      </c>
      <c r="E26" s="103">
        <v>1.1734</v>
      </c>
      <c r="F26" s="99">
        <v>1.1904999999999999</v>
      </c>
      <c r="G26" s="100">
        <v>1.1860999999999999</v>
      </c>
      <c r="H26" s="101">
        <v>1.1817</v>
      </c>
      <c r="I26" s="103">
        <v>1.1772</v>
      </c>
      <c r="J26" s="99">
        <v>1.1943999999999999</v>
      </c>
      <c r="K26" s="106">
        <v>1.1899</v>
      </c>
      <c r="L26" s="101">
        <v>1.1855</v>
      </c>
      <c r="M26" s="103">
        <v>1.1811</v>
      </c>
      <c r="N26" s="99"/>
      <c r="O26" s="100"/>
      <c r="P26" s="101"/>
      <c r="Q26" s="103"/>
    </row>
    <row r="27" spans="1:17">
      <c r="A27" s="93">
        <v>400</v>
      </c>
      <c r="B27" s="99">
        <v>1.1858</v>
      </c>
      <c r="C27" s="106">
        <v>1.1808000000000001</v>
      </c>
      <c r="D27" s="101">
        <v>1.1758999999999999</v>
      </c>
      <c r="E27" s="103">
        <v>1.1709000000000001</v>
      </c>
      <c r="F27" s="99">
        <v>1.1901999999999999</v>
      </c>
      <c r="G27" s="100">
        <v>1.1853</v>
      </c>
      <c r="H27" s="101">
        <v>1.1802999999999999</v>
      </c>
      <c r="I27" s="103">
        <v>1.1754</v>
      </c>
      <c r="J27" s="99">
        <v>1.1946000000000001</v>
      </c>
      <c r="K27" s="106">
        <v>1.1897</v>
      </c>
      <c r="L27" s="101">
        <v>1.1847000000000001</v>
      </c>
      <c r="M27" s="103">
        <v>1.1798</v>
      </c>
      <c r="N27" s="99"/>
      <c r="O27" s="100"/>
      <c r="P27" s="101"/>
      <c r="Q27" s="103"/>
    </row>
    <row r="28" spans="1:17">
      <c r="A28" s="93">
        <v>500</v>
      </c>
      <c r="B28" s="99">
        <v>1.1853</v>
      </c>
      <c r="C28" s="106">
        <v>1.1800999999999999</v>
      </c>
      <c r="D28" s="101">
        <v>1.1749000000000001</v>
      </c>
      <c r="E28" s="103">
        <v>1.1696</v>
      </c>
      <c r="F28" s="99">
        <v>1.19</v>
      </c>
      <c r="G28" s="100">
        <v>1.1848000000000001</v>
      </c>
      <c r="H28" s="101">
        <v>1.1795</v>
      </c>
      <c r="I28" s="103">
        <v>1.1742999999999999</v>
      </c>
      <c r="J28" s="99">
        <v>1.1946000000000001</v>
      </c>
      <c r="K28" s="106">
        <v>1.1894</v>
      </c>
      <c r="L28" s="101">
        <v>1.1841999999999999</v>
      </c>
      <c r="M28" s="103">
        <v>1.179</v>
      </c>
      <c r="N28" s="99"/>
      <c r="O28" s="100"/>
      <c r="P28" s="101"/>
      <c r="Q28" s="103"/>
    </row>
    <row r="29" spans="1:17" ht="24.75" thickBot="1">
      <c r="A29" s="94" t="s">
        <v>141</v>
      </c>
      <c r="B29" s="110">
        <v>1.1788000000000001</v>
      </c>
      <c r="C29" s="113">
        <v>1.1733</v>
      </c>
      <c r="D29" s="102">
        <v>1.1677999999999999</v>
      </c>
      <c r="E29" s="114">
        <v>1.1624000000000001</v>
      </c>
      <c r="F29" s="110">
        <v>1.1838</v>
      </c>
      <c r="G29" s="111">
        <v>1.1782999999999999</v>
      </c>
      <c r="H29" s="102">
        <v>1.1728000000000001</v>
      </c>
      <c r="I29" s="114">
        <v>1.1673</v>
      </c>
      <c r="J29" s="110">
        <v>1.1887000000000001</v>
      </c>
      <c r="K29" s="113">
        <v>1.1832</v>
      </c>
      <c r="L29" s="102">
        <v>1.1777</v>
      </c>
      <c r="M29" s="114">
        <v>1.1722999999999999</v>
      </c>
      <c r="N29" s="110"/>
      <c r="O29" s="111"/>
      <c r="P29" s="102"/>
      <c r="Q29" s="104"/>
    </row>
    <row r="30" spans="1:17" ht="24.75" thickTop="1">
      <c r="E30"/>
    </row>
  </sheetData>
  <mergeCells count="5">
    <mergeCell ref="N2:Q2"/>
    <mergeCell ref="N3:Q3"/>
    <mergeCell ref="B3:E3"/>
    <mergeCell ref="F3:I3"/>
    <mergeCell ref="J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K47"/>
  <sheetViews>
    <sheetView workbookViewId="0">
      <selection activeCell="A5" sqref="A5:A20"/>
    </sheetView>
  </sheetViews>
  <sheetFormatPr defaultRowHeight="24"/>
  <cols>
    <col min="1" max="1" width="13.85546875" style="18" customWidth="1"/>
    <col min="2" max="9" width="9.140625" style="18"/>
    <col min="10" max="10" width="12.140625" style="18" bestFit="1" customWidth="1"/>
    <col min="11" max="11" width="11.85546875" style="18" bestFit="1" customWidth="1"/>
    <col min="12" max="13" width="11.85546875" style="18" customWidth="1"/>
    <col min="14" max="22" width="9.140625" style="18"/>
    <col min="23" max="23" width="11.85546875" style="18" bestFit="1" customWidth="1"/>
    <col min="24" max="25" width="11.85546875" style="18" customWidth="1"/>
    <col min="26" max="34" width="9.140625" style="18"/>
    <col min="35" max="35" width="11.85546875" style="18" bestFit="1" customWidth="1"/>
    <col min="36" max="37" width="11.85546875" style="18" customWidth="1"/>
  </cols>
  <sheetData>
    <row r="1" spans="1:37" ht="22.5" thickBot="1">
      <c r="A1" s="109">
        <v>1</v>
      </c>
      <c r="B1" s="109">
        <v>2</v>
      </c>
      <c r="C1" s="109">
        <v>3</v>
      </c>
      <c r="D1" s="109">
        <v>4</v>
      </c>
      <c r="E1" s="109">
        <v>5</v>
      </c>
      <c r="F1" s="109">
        <v>6</v>
      </c>
      <c r="G1" s="109">
        <v>7</v>
      </c>
      <c r="H1" s="109">
        <v>8</v>
      </c>
      <c r="I1" s="109">
        <v>9</v>
      </c>
      <c r="J1" s="109">
        <v>10</v>
      </c>
      <c r="K1" s="109">
        <v>11</v>
      </c>
      <c r="L1" s="109">
        <v>12</v>
      </c>
      <c r="M1" s="109">
        <v>13</v>
      </c>
      <c r="N1" s="109">
        <v>14</v>
      </c>
      <c r="O1" s="109">
        <v>15</v>
      </c>
      <c r="P1" s="109">
        <v>16</v>
      </c>
      <c r="Q1" s="109">
        <v>17</v>
      </c>
      <c r="R1" s="109">
        <v>18</v>
      </c>
      <c r="S1" s="109">
        <v>19</v>
      </c>
      <c r="T1" s="109">
        <v>20</v>
      </c>
      <c r="U1" s="109">
        <v>21</v>
      </c>
      <c r="V1" s="109">
        <v>22</v>
      </c>
      <c r="W1" s="109">
        <v>23</v>
      </c>
      <c r="X1" s="109">
        <v>24</v>
      </c>
      <c r="Y1" s="109">
        <v>25</v>
      </c>
      <c r="Z1" s="109">
        <v>26</v>
      </c>
      <c r="AA1" s="109">
        <v>27</v>
      </c>
      <c r="AB1" s="109">
        <v>28</v>
      </c>
      <c r="AC1" s="109">
        <v>29</v>
      </c>
      <c r="AD1" s="109">
        <v>30</v>
      </c>
      <c r="AE1" s="109">
        <v>31</v>
      </c>
      <c r="AF1" s="109">
        <v>32</v>
      </c>
      <c r="AG1" s="109">
        <v>33</v>
      </c>
      <c r="AH1" s="109">
        <v>34</v>
      </c>
      <c r="AI1" s="109">
        <v>35</v>
      </c>
      <c r="AJ1" s="109">
        <v>36</v>
      </c>
      <c r="AK1" s="109">
        <v>37</v>
      </c>
    </row>
    <row r="2" spans="1:37" ht="30.75" thickTop="1" thickBot="1">
      <c r="A2" s="98" t="s">
        <v>116</v>
      </c>
      <c r="B2" s="667">
        <v>0</v>
      </c>
      <c r="C2" s="668"/>
      <c r="D2" s="668"/>
      <c r="E2" s="668"/>
      <c r="F2" s="668"/>
      <c r="G2" s="668"/>
      <c r="H2" s="668"/>
      <c r="I2" s="668"/>
      <c r="J2" s="668"/>
      <c r="K2" s="668"/>
      <c r="L2" s="127"/>
      <c r="M2" s="127"/>
      <c r="N2" s="667">
        <v>0.05</v>
      </c>
      <c r="O2" s="668"/>
      <c r="P2" s="668"/>
      <c r="Q2" s="668"/>
      <c r="R2" s="668"/>
      <c r="S2" s="668"/>
      <c r="T2" s="668"/>
      <c r="U2" s="668"/>
      <c r="V2" s="668"/>
      <c r="W2" s="668"/>
      <c r="X2" s="130"/>
      <c r="Y2" s="130"/>
      <c r="Z2" s="667">
        <v>0.1</v>
      </c>
      <c r="AA2" s="668"/>
      <c r="AB2" s="668"/>
      <c r="AC2" s="668"/>
      <c r="AD2" s="668"/>
      <c r="AE2" s="668"/>
      <c r="AF2" s="668"/>
      <c r="AG2" s="668"/>
      <c r="AH2" s="668"/>
      <c r="AI2" s="668"/>
      <c r="AJ2" s="130"/>
      <c r="AK2" s="131"/>
    </row>
    <row r="3" spans="1:37" ht="25.5" thickTop="1" thickBot="1">
      <c r="A3" s="91"/>
      <c r="B3" s="665" t="s">
        <v>46</v>
      </c>
      <c r="C3" s="666"/>
      <c r="D3" s="666"/>
      <c r="E3" s="666"/>
      <c r="F3" s="666"/>
      <c r="G3" s="666"/>
      <c r="H3" s="666"/>
      <c r="I3" s="666"/>
      <c r="J3" s="666"/>
      <c r="K3" s="666"/>
      <c r="L3" s="126"/>
      <c r="M3" s="126"/>
      <c r="N3" s="665" t="s">
        <v>46</v>
      </c>
      <c r="O3" s="666"/>
      <c r="P3" s="666"/>
      <c r="Q3" s="666"/>
      <c r="R3" s="666"/>
      <c r="S3" s="666"/>
      <c r="T3" s="666"/>
      <c r="U3" s="666"/>
      <c r="V3" s="666"/>
      <c r="W3" s="666"/>
      <c r="X3" s="128"/>
      <c r="Y3" s="128"/>
      <c r="Z3" s="665" t="s">
        <v>46</v>
      </c>
      <c r="AA3" s="666"/>
      <c r="AB3" s="666"/>
      <c r="AC3" s="666"/>
      <c r="AD3" s="666"/>
      <c r="AE3" s="666"/>
      <c r="AF3" s="666"/>
      <c r="AG3" s="666"/>
      <c r="AH3" s="666"/>
      <c r="AI3" s="666"/>
      <c r="AJ3" s="128"/>
      <c r="AK3" s="129"/>
    </row>
    <row r="4" spans="1:37" ht="24.75" thickTop="1">
      <c r="A4" s="150"/>
      <c r="B4" s="672">
        <v>0</v>
      </c>
      <c r="C4" s="673"/>
      <c r="D4" s="674"/>
      <c r="E4" s="669">
        <v>0.05</v>
      </c>
      <c r="F4" s="670"/>
      <c r="G4" s="671"/>
      <c r="H4" s="670">
        <v>0.1</v>
      </c>
      <c r="I4" s="670"/>
      <c r="J4" s="671"/>
      <c r="K4" s="670">
        <v>0.15</v>
      </c>
      <c r="L4" s="670"/>
      <c r="M4" s="675"/>
      <c r="N4" s="672">
        <v>0</v>
      </c>
      <c r="O4" s="673"/>
      <c r="P4" s="674"/>
      <c r="Q4" s="669">
        <v>0.05</v>
      </c>
      <c r="R4" s="670"/>
      <c r="S4" s="671"/>
      <c r="T4" s="670">
        <v>0.1</v>
      </c>
      <c r="U4" s="670"/>
      <c r="V4" s="671"/>
      <c r="W4" s="670">
        <v>0.15</v>
      </c>
      <c r="X4" s="670"/>
      <c r="Y4" s="675"/>
      <c r="Z4" s="672">
        <v>0</v>
      </c>
      <c r="AA4" s="673"/>
      <c r="AB4" s="674"/>
      <c r="AC4" s="669">
        <v>0.05</v>
      </c>
      <c r="AD4" s="670"/>
      <c r="AE4" s="671"/>
      <c r="AF4" s="670">
        <v>0.1</v>
      </c>
      <c r="AG4" s="670"/>
      <c r="AH4" s="671"/>
      <c r="AI4" s="670">
        <v>0.15</v>
      </c>
      <c r="AJ4" s="670"/>
      <c r="AK4" s="675"/>
    </row>
    <row r="5" spans="1:37">
      <c r="A5" s="164" t="s">
        <v>47</v>
      </c>
      <c r="B5" s="152" t="s">
        <v>140</v>
      </c>
      <c r="C5" s="151" t="s">
        <v>138</v>
      </c>
      <c r="D5" s="151" t="s">
        <v>139</v>
      </c>
      <c r="E5" s="152" t="s">
        <v>140</v>
      </c>
      <c r="F5" s="151" t="s">
        <v>138</v>
      </c>
      <c r="G5" s="151" t="s">
        <v>139</v>
      </c>
      <c r="H5" s="152" t="s">
        <v>140</v>
      </c>
      <c r="I5" s="151" t="s">
        <v>138</v>
      </c>
      <c r="J5" s="152" t="s">
        <v>139</v>
      </c>
      <c r="K5" s="152" t="s">
        <v>140</v>
      </c>
      <c r="L5" s="151" t="s">
        <v>138</v>
      </c>
      <c r="M5" s="165" t="s">
        <v>139</v>
      </c>
      <c r="N5" s="152" t="s">
        <v>140</v>
      </c>
      <c r="O5" s="151" t="s">
        <v>138</v>
      </c>
      <c r="P5" s="151" t="s">
        <v>139</v>
      </c>
      <c r="Q5" s="152" t="s">
        <v>140</v>
      </c>
      <c r="R5" s="151" t="s">
        <v>138</v>
      </c>
      <c r="S5" s="151" t="s">
        <v>139</v>
      </c>
      <c r="T5" s="152" t="s">
        <v>140</v>
      </c>
      <c r="U5" s="151" t="s">
        <v>138</v>
      </c>
      <c r="V5" s="152" t="s">
        <v>139</v>
      </c>
      <c r="W5" s="152" t="s">
        <v>140</v>
      </c>
      <c r="X5" s="151" t="s">
        <v>138</v>
      </c>
      <c r="Y5" s="165" t="s">
        <v>139</v>
      </c>
      <c r="Z5" s="152" t="s">
        <v>140</v>
      </c>
      <c r="AA5" s="151" t="s">
        <v>138</v>
      </c>
      <c r="AB5" s="151" t="s">
        <v>139</v>
      </c>
      <c r="AC5" s="152" t="s">
        <v>140</v>
      </c>
      <c r="AD5" s="151" t="s">
        <v>138</v>
      </c>
      <c r="AE5" s="151" t="s">
        <v>139</v>
      </c>
      <c r="AF5" s="152" t="s">
        <v>140</v>
      </c>
      <c r="AG5" s="151" t="s">
        <v>138</v>
      </c>
      <c r="AH5" s="152" t="s">
        <v>139</v>
      </c>
      <c r="AI5" s="152" t="s">
        <v>140</v>
      </c>
      <c r="AJ5" s="151" t="s">
        <v>138</v>
      </c>
      <c r="AK5" s="168" t="s">
        <v>139</v>
      </c>
    </row>
    <row r="6" spans="1:37">
      <c r="A6" s="93">
        <v>0</v>
      </c>
      <c r="B6" s="143">
        <v>1.3624000000000001</v>
      </c>
      <c r="C6" s="144">
        <v>1.3822000000000001</v>
      </c>
      <c r="D6" s="144">
        <v>1.4018999999999999</v>
      </c>
      <c r="E6" s="145">
        <v>1.3613999999999999</v>
      </c>
      <c r="F6" s="145">
        <v>1.3811</v>
      </c>
      <c r="G6" s="145">
        <v>1.4008</v>
      </c>
      <c r="H6" s="146">
        <v>1.3603000000000001</v>
      </c>
      <c r="I6" s="147">
        <v>1.38</v>
      </c>
      <c r="J6" s="147">
        <v>1.3996999999999999</v>
      </c>
      <c r="K6" s="148">
        <v>1.3592</v>
      </c>
      <c r="L6" s="148">
        <v>1.3789</v>
      </c>
      <c r="M6" s="149">
        <v>1.3987000000000001</v>
      </c>
      <c r="N6" s="143">
        <v>1.363</v>
      </c>
      <c r="O6" s="144">
        <v>1.3827</v>
      </c>
      <c r="P6" s="144">
        <v>1.4024000000000001</v>
      </c>
      <c r="Q6" s="145">
        <v>1.3619000000000001</v>
      </c>
      <c r="R6" s="145">
        <v>1.3815999999999999</v>
      </c>
      <c r="S6" s="145">
        <v>1.4013</v>
      </c>
      <c r="T6" s="146">
        <v>1.3608</v>
      </c>
      <c r="U6" s="147">
        <v>1.3805000000000001</v>
      </c>
      <c r="V6" s="147">
        <v>1.4003000000000001</v>
      </c>
      <c r="W6" s="148">
        <v>1.3597999999999999</v>
      </c>
      <c r="X6" s="148">
        <v>1.3794999999999999</v>
      </c>
      <c r="Y6" s="167">
        <v>1.3992</v>
      </c>
      <c r="Z6" s="166">
        <v>1.3634999999999999</v>
      </c>
      <c r="AA6" s="144">
        <v>1.3832</v>
      </c>
      <c r="AB6" s="144">
        <v>1.4029</v>
      </c>
      <c r="AC6" s="145">
        <v>1.3624000000000001</v>
      </c>
      <c r="AD6" s="145">
        <v>1.3822000000000001</v>
      </c>
      <c r="AE6" s="145">
        <v>1.4018999999999999</v>
      </c>
      <c r="AF6" s="146">
        <v>1.3613999999999999</v>
      </c>
      <c r="AG6" s="147">
        <v>1.3811</v>
      </c>
      <c r="AH6" s="147">
        <v>1.1008</v>
      </c>
      <c r="AI6" s="148">
        <v>1.3603000000000001</v>
      </c>
      <c r="AJ6" s="148">
        <v>1.38</v>
      </c>
      <c r="AK6" s="169">
        <v>1.3996999999999999</v>
      </c>
    </row>
    <row r="7" spans="1:37">
      <c r="A7" s="93">
        <v>5</v>
      </c>
      <c r="B7" s="133">
        <v>1.3624000000000001</v>
      </c>
      <c r="C7" s="144">
        <v>1.3822000000000001</v>
      </c>
      <c r="D7" s="144">
        <v>1.4018999999999999</v>
      </c>
      <c r="E7" s="106">
        <v>1.3613999999999999</v>
      </c>
      <c r="F7" s="106">
        <v>1.3811</v>
      </c>
      <c r="G7" s="106">
        <v>1.4008</v>
      </c>
      <c r="H7" s="146">
        <v>1.3603000000000001</v>
      </c>
      <c r="I7" s="137">
        <v>1.38</v>
      </c>
      <c r="J7" s="137">
        <v>1.3996999999999999</v>
      </c>
      <c r="K7" s="141">
        <v>1.3592</v>
      </c>
      <c r="L7" s="141">
        <v>1.3789</v>
      </c>
      <c r="M7" s="139">
        <v>1.3987000000000001</v>
      </c>
      <c r="N7" s="133">
        <v>1.363</v>
      </c>
      <c r="O7" s="135">
        <v>1.3827</v>
      </c>
      <c r="P7" s="144">
        <v>1.4024000000000001</v>
      </c>
      <c r="Q7" s="106">
        <v>1.3619000000000001</v>
      </c>
      <c r="R7" s="106">
        <v>1.3815999999999999</v>
      </c>
      <c r="S7" s="106">
        <v>1.4013</v>
      </c>
      <c r="T7" s="101">
        <v>1.3608</v>
      </c>
      <c r="U7" s="137">
        <v>1.3805000000000001</v>
      </c>
      <c r="V7" s="137">
        <v>1.4003000000000001</v>
      </c>
      <c r="W7" s="141">
        <v>1.3597999999999999</v>
      </c>
      <c r="X7" s="141">
        <v>1.3794999999999999</v>
      </c>
      <c r="Y7" s="139">
        <v>1.3992</v>
      </c>
      <c r="Z7" s="133">
        <v>1.3634999999999999</v>
      </c>
      <c r="AA7" s="135">
        <v>1.3832</v>
      </c>
      <c r="AB7" s="135">
        <v>1.4029</v>
      </c>
      <c r="AC7" s="106">
        <v>1.3624000000000001</v>
      </c>
      <c r="AD7" s="106">
        <v>1.3822000000000001</v>
      </c>
      <c r="AE7" s="106">
        <v>1.4018999999999999</v>
      </c>
      <c r="AF7" s="101">
        <v>1.3613999999999999</v>
      </c>
      <c r="AG7" s="137">
        <v>1.3811</v>
      </c>
      <c r="AH7" s="137">
        <v>1.4008</v>
      </c>
      <c r="AI7" s="141">
        <v>1.3603000000000001</v>
      </c>
      <c r="AJ7" s="141">
        <v>1.38</v>
      </c>
      <c r="AK7" s="170">
        <v>1.3996999999999999</v>
      </c>
    </row>
    <row r="8" spans="1:37">
      <c r="A8" s="93">
        <v>10</v>
      </c>
      <c r="B8" s="133">
        <v>1.3116000000000001</v>
      </c>
      <c r="C8" s="135">
        <v>1.3319000000000001</v>
      </c>
      <c r="D8" s="135">
        <v>1.3522000000000001</v>
      </c>
      <c r="E8" s="106">
        <v>1.3103</v>
      </c>
      <c r="F8" s="106">
        <v>1.3306</v>
      </c>
      <c r="G8" s="106">
        <v>1.3509</v>
      </c>
      <c r="H8" s="101">
        <v>1.3089</v>
      </c>
      <c r="I8" s="137">
        <v>1.3291999999999999</v>
      </c>
      <c r="J8" s="137">
        <v>1.3495999999999999</v>
      </c>
      <c r="K8" s="141">
        <v>1.3076000000000001</v>
      </c>
      <c r="L8" s="141">
        <v>1.3280000000000001</v>
      </c>
      <c r="M8" s="139">
        <v>1.3483000000000001</v>
      </c>
      <c r="N8" s="133">
        <v>1.3125</v>
      </c>
      <c r="O8" s="135">
        <v>1.3328</v>
      </c>
      <c r="P8" s="135">
        <v>1.3531</v>
      </c>
      <c r="Q8" s="106">
        <v>1.3110999999999999</v>
      </c>
      <c r="R8" s="106">
        <v>1.3313999999999999</v>
      </c>
      <c r="S8" s="106">
        <v>1.3516999999999999</v>
      </c>
      <c r="T8" s="101">
        <v>1.3098000000000001</v>
      </c>
      <c r="U8" s="137">
        <v>1.3301000000000001</v>
      </c>
      <c r="V8" s="137">
        <v>1.3504</v>
      </c>
      <c r="W8" s="141">
        <v>1.3084</v>
      </c>
      <c r="X8" s="141">
        <v>1.3287</v>
      </c>
      <c r="Y8" s="139">
        <v>1.349</v>
      </c>
      <c r="Z8" s="133">
        <v>1.3131999999999999</v>
      </c>
      <c r="AA8" s="135">
        <v>1.3334999999999999</v>
      </c>
      <c r="AB8" s="135">
        <v>1.3537999999999999</v>
      </c>
      <c r="AC8" s="106">
        <v>1.3119000000000001</v>
      </c>
      <c r="AD8" s="106">
        <v>1.3322000000000001</v>
      </c>
      <c r="AE8" s="106">
        <v>1.3526</v>
      </c>
      <c r="AF8" s="101">
        <v>1.3105</v>
      </c>
      <c r="AG8" s="137">
        <v>1.3308</v>
      </c>
      <c r="AH8" s="137">
        <v>1.3512</v>
      </c>
      <c r="AI8" s="141">
        <v>1.3092999999999999</v>
      </c>
      <c r="AJ8" s="141">
        <v>1.3295999999999999</v>
      </c>
      <c r="AK8" s="170">
        <v>1.3499000000000001</v>
      </c>
    </row>
    <row r="9" spans="1:37">
      <c r="A9" s="93">
        <v>20</v>
      </c>
      <c r="B9" s="133">
        <v>1.2534000000000001</v>
      </c>
      <c r="C9" s="135">
        <v>1.12717</v>
      </c>
      <c r="D9" s="135">
        <v>1.2899</v>
      </c>
      <c r="E9" s="106">
        <v>1.2519</v>
      </c>
      <c r="F9" s="106">
        <v>1.2702</v>
      </c>
      <c r="G9" s="106">
        <v>1.2884</v>
      </c>
      <c r="H9" s="101">
        <v>1.2504</v>
      </c>
      <c r="I9" s="137">
        <v>1.2686999999999999</v>
      </c>
      <c r="J9" s="137">
        <v>1.2868999999999999</v>
      </c>
      <c r="K9" s="141">
        <v>1.2490000000000001</v>
      </c>
      <c r="L9" s="141">
        <v>1.2673000000000001</v>
      </c>
      <c r="M9" s="139">
        <v>1.2855000000000001</v>
      </c>
      <c r="N9" s="133">
        <v>1.2544</v>
      </c>
      <c r="O9" s="135">
        <v>1.2726</v>
      </c>
      <c r="P9" s="135">
        <v>1.2908999999999999</v>
      </c>
      <c r="Q9" s="106">
        <v>1.2528999999999999</v>
      </c>
      <c r="R9" s="106">
        <v>1.2710999999999999</v>
      </c>
      <c r="S9" s="106">
        <v>1.2894000000000001</v>
      </c>
      <c r="T9" s="101">
        <v>1.2514000000000001</v>
      </c>
      <c r="U9" s="137">
        <v>1.2696000000000001</v>
      </c>
      <c r="V9" s="137">
        <v>1.2879</v>
      </c>
      <c r="W9" s="141">
        <v>1.2499</v>
      </c>
      <c r="X9" s="141">
        <v>1.2681</v>
      </c>
      <c r="Y9" s="139">
        <v>1.2864</v>
      </c>
      <c r="Z9" s="133">
        <v>1.2552000000000001</v>
      </c>
      <c r="AA9" s="135">
        <v>1.2735000000000001</v>
      </c>
      <c r="AB9" s="135">
        <v>1.2917000000000001</v>
      </c>
      <c r="AC9" s="106">
        <v>1.2537799999999999</v>
      </c>
      <c r="AD9" s="106">
        <v>1.2721</v>
      </c>
      <c r="AE9" s="106">
        <v>1.2903</v>
      </c>
      <c r="AF9" s="101">
        <v>1.2523</v>
      </c>
      <c r="AG9" s="137">
        <v>1.2706</v>
      </c>
      <c r="AH9" s="137">
        <v>1.2887999999999999</v>
      </c>
      <c r="AI9" s="141">
        <v>1.2507999999999999</v>
      </c>
      <c r="AJ9" s="141">
        <v>1.2690999999999999</v>
      </c>
      <c r="AK9" s="170">
        <v>1.2873000000000001</v>
      </c>
    </row>
    <row r="10" spans="1:37">
      <c r="A10" s="93">
        <v>30</v>
      </c>
      <c r="B10" s="133">
        <v>1.2203999999999999</v>
      </c>
      <c r="C10" s="135">
        <v>1.2369000000000001</v>
      </c>
      <c r="D10" s="135">
        <v>1.2533000000000001</v>
      </c>
      <c r="E10" s="106">
        <v>1.2189000000000001</v>
      </c>
      <c r="F10" s="106">
        <v>1.2354000000000001</v>
      </c>
      <c r="G10" s="106">
        <v>1.2518</v>
      </c>
      <c r="H10" s="101">
        <v>1.2174</v>
      </c>
      <c r="I10" s="137">
        <v>1.2339</v>
      </c>
      <c r="J10" s="137">
        <v>1.2503</v>
      </c>
      <c r="K10" s="141">
        <v>1.2159</v>
      </c>
      <c r="L10" s="141">
        <v>1.2323999999999999</v>
      </c>
      <c r="M10" s="139">
        <v>1.2487999999999999</v>
      </c>
      <c r="N10" s="133">
        <v>1.2213000000000001</v>
      </c>
      <c r="O10" s="135">
        <v>1.2377</v>
      </c>
      <c r="P10" s="135">
        <v>1.2541</v>
      </c>
      <c r="Q10" s="106">
        <v>1.2199</v>
      </c>
      <c r="R10" s="106">
        <v>1.2363</v>
      </c>
      <c r="S10" s="106">
        <v>1.2526999999999999</v>
      </c>
      <c r="T10" s="101">
        <v>1.2183999999999999</v>
      </c>
      <c r="U10" s="137">
        <v>1.2347999999999999</v>
      </c>
      <c r="V10" s="137">
        <v>1.2512000000000001</v>
      </c>
      <c r="W10" s="141">
        <v>1.2169000000000001</v>
      </c>
      <c r="X10" s="141">
        <v>1.2333000000000001</v>
      </c>
      <c r="Y10" s="139">
        <v>1.2498</v>
      </c>
      <c r="Z10" s="133">
        <v>1.2222999999999999</v>
      </c>
      <c r="AA10" s="135">
        <v>1.2386999999999999</v>
      </c>
      <c r="AB10" s="135">
        <v>1.2551000000000001</v>
      </c>
      <c r="AC10" s="106">
        <v>1.2208000000000001</v>
      </c>
      <c r="AD10" s="106">
        <v>1.2372000000000001</v>
      </c>
      <c r="AE10" s="106">
        <v>1.2536</v>
      </c>
      <c r="AF10" s="101">
        <v>1.2194</v>
      </c>
      <c r="AG10" s="137">
        <v>1.2358</v>
      </c>
      <c r="AH10" s="137">
        <v>1.2522</v>
      </c>
      <c r="AI10" s="141">
        <v>1.2179</v>
      </c>
      <c r="AJ10" s="141">
        <v>1.2343</v>
      </c>
      <c r="AK10" s="170">
        <v>1.2506999999999999</v>
      </c>
    </row>
    <row r="11" spans="1:37">
      <c r="A11" s="93">
        <v>40</v>
      </c>
      <c r="B11" s="133">
        <v>1.2137</v>
      </c>
      <c r="C11" s="135">
        <v>1.2316</v>
      </c>
      <c r="D11" s="135">
        <v>1.2496</v>
      </c>
      <c r="E11" s="106">
        <v>1.2119</v>
      </c>
      <c r="F11" s="106">
        <v>1.2298</v>
      </c>
      <c r="G11" s="106">
        <v>1.2478</v>
      </c>
      <c r="H11" s="101">
        <v>1.21</v>
      </c>
      <c r="I11" s="137">
        <v>1.2279</v>
      </c>
      <c r="J11" s="137">
        <v>1.2458</v>
      </c>
      <c r="K11" s="141">
        <v>1.2081</v>
      </c>
      <c r="L11" s="141">
        <v>1.2261</v>
      </c>
      <c r="M11" s="139">
        <v>1.244</v>
      </c>
      <c r="N11" s="133">
        <v>1.2151000000000001</v>
      </c>
      <c r="O11" s="135">
        <v>1.2330000000000001</v>
      </c>
      <c r="P11" s="135">
        <v>1.2509999999999999</v>
      </c>
      <c r="Q11" s="106">
        <v>1.2132000000000001</v>
      </c>
      <c r="R11" s="106">
        <v>1.2311000000000001</v>
      </c>
      <c r="S11" s="106">
        <v>1.2490000000000001</v>
      </c>
      <c r="T11" s="101">
        <v>1.2113</v>
      </c>
      <c r="U11" s="137">
        <v>1.2293000000000001</v>
      </c>
      <c r="V11" s="137">
        <v>1.2472000000000001</v>
      </c>
      <c r="W11" s="141">
        <v>1.2094</v>
      </c>
      <c r="X11" s="141">
        <v>1.2274</v>
      </c>
      <c r="Y11" s="139">
        <v>1.2453000000000001</v>
      </c>
      <c r="Z11" s="133">
        <v>1.2163999999999999</v>
      </c>
      <c r="AA11" s="135">
        <v>1.2343</v>
      </c>
      <c r="AB11" s="135">
        <v>1.2522</v>
      </c>
      <c r="AC11" s="106">
        <v>1.2145999999999999</v>
      </c>
      <c r="AD11" s="106">
        <v>1.2324999999999999</v>
      </c>
      <c r="AE11" s="106">
        <v>1.2504</v>
      </c>
      <c r="AF11" s="101">
        <v>1.2125999999999999</v>
      </c>
      <c r="AG11" s="137">
        <v>1.2305999999999999</v>
      </c>
      <c r="AH11" s="137">
        <v>1.2484999999999999</v>
      </c>
      <c r="AI11" s="141">
        <v>1.2108000000000001</v>
      </c>
      <c r="AJ11" s="141">
        <v>1.2286999999999999</v>
      </c>
      <c r="AK11" s="170">
        <v>1.2466999999999999</v>
      </c>
    </row>
    <row r="12" spans="1:37">
      <c r="A12" s="93">
        <v>50</v>
      </c>
      <c r="B12" s="133">
        <v>1.2084999999999999</v>
      </c>
      <c r="C12" s="135">
        <v>1.2264999999999999</v>
      </c>
      <c r="D12" s="135">
        <v>1.2444999999999999</v>
      </c>
      <c r="E12" s="106">
        <v>1.2063999999999999</v>
      </c>
      <c r="F12" s="106">
        <v>1.2244999999999999</v>
      </c>
      <c r="G12" s="106">
        <v>1.2424999999999999</v>
      </c>
      <c r="H12" s="101">
        <v>1.2044999999999999</v>
      </c>
      <c r="I12" s="137">
        <v>1.2224999999999999</v>
      </c>
      <c r="J12" s="137">
        <v>1.2405999999999999</v>
      </c>
      <c r="K12" s="141">
        <v>1.2024999999999999</v>
      </c>
      <c r="L12" s="141">
        <v>1.2204999999999999</v>
      </c>
      <c r="M12" s="139">
        <v>1.2384999999999999</v>
      </c>
      <c r="N12" s="133">
        <v>1.21</v>
      </c>
      <c r="O12" s="135">
        <v>1.228</v>
      </c>
      <c r="P12" s="135">
        <v>1.246</v>
      </c>
      <c r="Q12" s="106">
        <v>1.2079</v>
      </c>
      <c r="R12" s="106">
        <v>1.2259</v>
      </c>
      <c r="S12" s="106">
        <v>1.244</v>
      </c>
      <c r="T12" s="101">
        <v>1.2059</v>
      </c>
      <c r="U12" s="137">
        <v>1.2239</v>
      </c>
      <c r="V12" s="137">
        <v>1.2419</v>
      </c>
      <c r="W12" s="141">
        <v>1.204</v>
      </c>
      <c r="X12" s="141">
        <v>1.222</v>
      </c>
      <c r="Y12" s="139">
        <v>1.24</v>
      </c>
      <c r="Z12" s="133">
        <v>1.2115</v>
      </c>
      <c r="AA12" s="135">
        <v>1.2295</v>
      </c>
      <c r="AB12" s="135">
        <v>1.2475000000000001</v>
      </c>
      <c r="AC12" s="106">
        <v>1.2094</v>
      </c>
      <c r="AD12" s="106">
        <v>1.2274</v>
      </c>
      <c r="AE12" s="106">
        <v>1.2455000000000001</v>
      </c>
      <c r="AF12" s="101">
        <v>1.2074</v>
      </c>
      <c r="AG12" s="137">
        <v>1.2254</v>
      </c>
      <c r="AH12" s="137">
        <v>1.4339999999999999</v>
      </c>
      <c r="AI12" s="141">
        <v>1.2054</v>
      </c>
      <c r="AJ12" s="141">
        <v>1.2234</v>
      </c>
      <c r="AK12" s="170">
        <v>1.2414000000000001</v>
      </c>
    </row>
    <row r="13" spans="1:37">
      <c r="A13" s="93">
        <v>60</v>
      </c>
      <c r="B13" s="133">
        <v>1.2024999999999999</v>
      </c>
      <c r="C13" s="135">
        <v>1.2203999999999999</v>
      </c>
      <c r="D13" s="135">
        <v>1.2383999999999999</v>
      </c>
      <c r="E13" s="106">
        <v>1.2002999999999999</v>
      </c>
      <c r="F13" s="106">
        <v>1.2182999999999999</v>
      </c>
      <c r="G13" s="106">
        <v>1.2363</v>
      </c>
      <c r="H13" s="101">
        <v>1.1981999999999999</v>
      </c>
      <c r="I13" s="137">
        <v>1.2161999999999999</v>
      </c>
      <c r="J13" s="137">
        <v>1.2341</v>
      </c>
      <c r="K13" s="141">
        <v>1.196</v>
      </c>
      <c r="L13" s="141">
        <v>1.214</v>
      </c>
      <c r="M13" s="139">
        <v>1.232</v>
      </c>
      <c r="N13" s="133">
        <v>1.2040999999999999</v>
      </c>
      <c r="O13" s="135">
        <v>1.222</v>
      </c>
      <c r="P13" s="135">
        <v>1.24</v>
      </c>
      <c r="Q13" s="106">
        <v>1.2019</v>
      </c>
      <c r="R13" s="106">
        <v>1.2199</v>
      </c>
      <c r="S13" s="106">
        <v>1.2379</v>
      </c>
      <c r="T13" s="101">
        <v>1.1998</v>
      </c>
      <c r="U13" s="137">
        <v>1.2178</v>
      </c>
      <c r="V13" s="137">
        <v>1.2357</v>
      </c>
      <c r="W13" s="141">
        <v>1.1977</v>
      </c>
      <c r="X13" s="141">
        <v>1.2156</v>
      </c>
      <c r="Y13" s="139">
        <v>1.2336</v>
      </c>
      <c r="Z13" s="133">
        <v>1.2057</v>
      </c>
      <c r="AA13" s="135">
        <v>1.2236</v>
      </c>
      <c r="AB13" s="135">
        <v>1.2416</v>
      </c>
      <c r="AC13" s="106">
        <v>1.2035</v>
      </c>
      <c r="AD13" s="106">
        <v>1.2215</v>
      </c>
      <c r="AE13" s="106">
        <v>1.2395</v>
      </c>
      <c r="AF13" s="101">
        <v>1.2014</v>
      </c>
      <c r="AG13" s="137">
        <v>1.2194</v>
      </c>
      <c r="AH13" s="137">
        <v>1.2373000000000001</v>
      </c>
      <c r="AI13" s="141">
        <v>1.1993</v>
      </c>
      <c r="AJ13" s="141">
        <v>1.2172000000000001</v>
      </c>
      <c r="AK13" s="170">
        <v>1.2352000000000001</v>
      </c>
    </row>
    <row r="14" spans="1:37">
      <c r="A14" s="93">
        <v>70</v>
      </c>
      <c r="B14" s="133">
        <v>1.1967000000000001</v>
      </c>
      <c r="C14" s="135">
        <v>1.2151000000000001</v>
      </c>
      <c r="D14" s="135">
        <v>1.2334000000000001</v>
      </c>
      <c r="E14" s="106">
        <v>1.1943999999999999</v>
      </c>
      <c r="F14" s="106">
        <v>1.2128000000000001</v>
      </c>
      <c r="G14" s="106">
        <v>1.2312000000000001</v>
      </c>
      <c r="H14" s="101">
        <v>1.1921999999999999</v>
      </c>
      <c r="I14" s="137">
        <v>1.2105999999999999</v>
      </c>
      <c r="J14" s="137">
        <v>1.2290000000000001</v>
      </c>
      <c r="K14" s="141">
        <v>1.1899</v>
      </c>
      <c r="L14" s="141">
        <v>1.2082999999999999</v>
      </c>
      <c r="M14" s="139">
        <v>1.2266999999999999</v>
      </c>
      <c r="N14" s="133">
        <v>1.1984999999999999</v>
      </c>
      <c r="O14" s="135">
        <v>1.2169000000000001</v>
      </c>
      <c r="P14" s="135">
        <v>1.2353000000000001</v>
      </c>
      <c r="Q14" s="106">
        <v>1.1961999999999999</v>
      </c>
      <c r="R14" s="106">
        <v>1.2144999999999999</v>
      </c>
      <c r="S14" s="106">
        <v>1.2329000000000001</v>
      </c>
      <c r="T14" s="101">
        <v>1.1939</v>
      </c>
      <c r="U14" s="137">
        <v>1.2122999999999999</v>
      </c>
      <c r="V14" s="137">
        <v>1.2306999999999999</v>
      </c>
      <c r="W14" s="141">
        <v>1.1917</v>
      </c>
      <c r="X14" s="141">
        <v>1.21</v>
      </c>
      <c r="Y14" s="139">
        <v>1.2283999999999999</v>
      </c>
      <c r="Z14" s="133">
        <v>1.2001999999999999</v>
      </c>
      <c r="AA14" s="135">
        <v>1.2185999999999999</v>
      </c>
      <c r="AB14" s="135">
        <v>1.2370000000000001</v>
      </c>
      <c r="AC14" s="106">
        <v>1.198</v>
      </c>
      <c r="AD14" s="106">
        <v>1.2163999999999999</v>
      </c>
      <c r="AE14" s="106">
        <v>1.2346999999999999</v>
      </c>
      <c r="AF14" s="101">
        <v>1.1956</v>
      </c>
      <c r="AG14" s="137">
        <v>1.214</v>
      </c>
      <c r="AH14" s="137">
        <v>1.2323999999999999</v>
      </c>
      <c r="AI14" s="141">
        <v>1.1934</v>
      </c>
      <c r="AJ14" s="141">
        <v>1.2118</v>
      </c>
      <c r="AK14" s="170">
        <v>1.2301</v>
      </c>
    </row>
    <row r="15" spans="1:37">
      <c r="A15" s="93">
        <v>80</v>
      </c>
      <c r="B15" s="133">
        <v>1.1933</v>
      </c>
      <c r="C15" s="135">
        <v>1.2117</v>
      </c>
      <c r="D15" s="135">
        <v>1.2302</v>
      </c>
      <c r="E15" s="106">
        <v>1.1909000000000001</v>
      </c>
      <c r="F15" s="106">
        <v>1.2094</v>
      </c>
      <c r="G15" s="106">
        <v>1.2278</v>
      </c>
      <c r="H15" s="101">
        <v>1.1883999999999999</v>
      </c>
      <c r="I15" s="137">
        <v>1.2069000000000001</v>
      </c>
      <c r="J15" s="137">
        <v>1.2254</v>
      </c>
      <c r="K15" s="141">
        <v>1.1860999999999999</v>
      </c>
      <c r="L15" s="141">
        <v>1.2045999999999999</v>
      </c>
      <c r="M15" s="139">
        <v>1.2230000000000001</v>
      </c>
      <c r="N15" s="133">
        <v>1.1952</v>
      </c>
      <c r="O15" s="135">
        <v>1.2137</v>
      </c>
      <c r="P15" s="135">
        <v>1.2321</v>
      </c>
      <c r="Q15" s="106">
        <v>1.1927000000000001</v>
      </c>
      <c r="R15" s="106">
        <v>1.2112000000000001</v>
      </c>
      <c r="S15" s="106">
        <v>1.2297</v>
      </c>
      <c r="T15" s="101">
        <v>1.1903999999999999</v>
      </c>
      <c r="U15" s="137">
        <v>1.2088000000000001</v>
      </c>
      <c r="V15" s="137">
        <v>1.2273000000000001</v>
      </c>
      <c r="W15" s="141">
        <v>1.1879</v>
      </c>
      <c r="X15" s="141">
        <v>1.2063999999999999</v>
      </c>
      <c r="Y15" s="139">
        <v>1.2248000000000001</v>
      </c>
      <c r="Z15" s="133">
        <v>1.1970000000000001</v>
      </c>
      <c r="AA15" s="135">
        <v>1.2155</v>
      </c>
      <c r="AB15" s="135">
        <v>1.2339</v>
      </c>
      <c r="AC15" s="106">
        <v>1.1947000000000001</v>
      </c>
      <c r="AD15" s="106">
        <v>1.2131000000000001</v>
      </c>
      <c r="AE15" s="106">
        <v>1.2316</v>
      </c>
      <c r="AF15" s="101">
        <v>1.1921999999999999</v>
      </c>
      <c r="AG15" s="137">
        <v>1.2107000000000001</v>
      </c>
      <c r="AH15" s="137">
        <v>1.2291000000000001</v>
      </c>
      <c r="AI15" s="141">
        <v>1.1898</v>
      </c>
      <c r="AJ15" s="141">
        <v>1.2082999999999999</v>
      </c>
      <c r="AK15" s="170">
        <v>1.2267999999999999</v>
      </c>
    </row>
    <row r="16" spans="1:37">
      <c r="A16" s="93">
        <v>90</v>
      </c>
      <c r="B16" s="133">
        <v>1.1874</v>
      </c>
      <c r="C16" s="135">
        <v>1.2052</v>
      </c>
      <c r="D16" s="135">
        <v>1.2231000000000001</v>
      </c>
      <c r="E16" s="106">
        <v>1.1850000000000001</v>
      </c>
      <c r="F16" s="106">
        <v>1.2029000000000001</v>
      </c>
      <c r="G16" s="106">
        <v>1.2206999999999999</v>
      </c>
      <c r="H16" s="101">
        <v>1.1826000000000001</v>
      </c>
      <c r="I16" s="137">
        <v>1.2003999999999999</v>
      </c>
      <c r="J16" s="137">
        <v>1.2182999999999999</v>
      </c>
      <c r="K16" s="141">
        <v>1.1801999999999999</v>
      </c>
      <c r="L16" s="141">
        <v>1.1980999999999999</v>
      </c>
      <c r="M16" s="139">
        <v>1.2159</v>
      </c>
      <c r="N16" s="133">
        <v>1.1893</v>
      </c>
      <c r="O16" s="135">
        <v>1.2072000000000001</v>
      </c>
      <c r="P16" s="135">
        <v>1.2250000000000001</v>
      </c>
      <c r="Q16" s="106">
        <v>1.1868000000000001</v>
      </c>
      <c r="R16" s="106">
        <v>1.2047000000000001</v>
      </c>
      <c r="S16" s="106">
        <v>1.2224999999999999</v>
      </c>
      <c r="T16" s="101">
        <v>1.1845000000000001</v>
      </c>
      <c r="U16" s="137">
        <v>1.2022999999999999</v>
      </c>
      <c r="V16" s="137">
        <v>1.2202</v>
      </c>
      <c r="W16" s="141">
        <v>1.1819999999999999</v>
      </c>
      <c r="X16" s="141">
        <v>1.1999</v>
      </c>
      <c r="Y16" s="139">
        <v>1.2177</v>
      </c>
      <c r="Z16" s="133">
        <v>1.1911</v>
      </c>
      <c r="AA16" s="135">
        <v>1.2090000000000001</v>
      </c>
      <c r="AB16" s="135">
        <v>1.2267999999999999</v>
      </c>
      <c r="AC16" s="106">
        <v>1.1888000000000001</v>
      </c>
      <c r="AD16" s="106">
        <v>1.2065999999999999</v>
      </c>
      <c r="AE16" s="106">
        <v>1.2244999999999999</v>
      </c>
      <c r="AF16" s="101">
        <v>1.1862999999999999</v>
      </c>
      <c r="AG16" s="137">
        <v>1.2041999999999999</v>
      </c>
      <c r="AH16" s="137">
        <v>1.222</v>
      </c>
      <c r="AI16" s="141">
        <v>1.1839999999999999</v>
      </c>
      <c r="AJ16" s="141">
        <v>1.2018</v>
      </c>
      <c r="AK16" s="170">
        <v>1.2197</v>
      </c>
    </row>
    <row r="17" spans="1:37">
      <c r="A17" s="93">
        <v>100</v>
      </c>
      <c r="B17" s="133">
        <v>1.1841999999999999</v>
      </c>
      <c r="C17" s="135">
        <v>1.2017</v>
      </c>
      <c r="D17" s="135">
        <v>1.2192000000000001</v>
      </c>
      <c r="E17" s="106">
        <v>1.1817</v>
      </c>
      <c r="F17" s="106">
        <v>1.1992</v>
      </c>
      <c r="G17" s="106">
        <v>1.2166999999999999</v>
      </c>
      <c r="H17" s="101">
        <v>1.1794</v>
      </c>
      <c r="I17" s="137">
        <v>1.1969000000000001</v>
      </c>
      <c r="J17" s="137">
        <v>1.2143999999999999</v>
      </c>
      <c r="K17" s="141">
        <v>1.1769000000000001</v>
      </c>
      <c r="L17" s="141">
        <v>1.1943999999999999</v>
      </c>
      <c r="M17" s="139">
        <v>1.2119</v>
      </c>
      <c r="N17" s="133">
        <v>1.1859999999999999</v>
      </c>
      <c r="O17" s="135">
        <v>1.2035</v>
      </c>
      <c r="P17" s="135">
        <v>1.2210000000000001</v>
      </c>
      <c r="Q17" s="106">
        <v>1.1836</v>
      </c>
      <c r="R17" s="106">
        <v>1.2011000000000001</v>
      </c>
      <c r="S17" s="106">
        <v>1.2186999999999999</v>
      </c>
      <c r="T17" s="101">
        <v>1.1812</v>
      </c>
      <c r="U17" s="137">
        <v>1.1987000000000001</v>
      </c>
      <c r="V17" s="137">
        <v>1.2161999999999999</v>
      </c>
      <c r="W17" s="141">
        <v>1.1788000000000001</v>
      </c>
      <c r="X17" s="141">
        <v>1.1962999999999999</v>
      </c>
      <c r="Y17" s="139">
        <v>1.2138</v>
      </c>
      <c r="Z17" s="133">
        <v>1.1879</v>
      </c>
      <c r="AA17" s="135">
        <v>1.2054</v>
      </c>
      <c r="AB17" s="135">
        <v>1.2229000000000001</v>
      </c>
      <c r="AC17" s="106">
        <v>1.1855</v>
      </c>
      <c r="AD17" s="106">
        <v>1.2030000000000001</v>
      </c>
      <c r="AE17" s="106">
        <v>1.2204999999999999</v>
      </c>
      <c r="AF17" s="101">
        <v>1.1831</v>
      </c>
      <c r="AG17" s="137">
        <v>1.2005999999999999</v>
      </c>
      <c r="AH17" s="137">
        <v>1.2181</v>
      </c>
      <c r="AI17" s="141">
        <v>1.1806000000000001</v>
      </c>
      <c r="AJ17" s="141">
        <v>1.1981999999999999</v>
      </c>
      <c r="AK17" s="170">
        <v>1.2157</v>
      </c>
    </row>
    <row r="18" spans="1:37">
      <c r="A18" s="93">
        <v>110</v>
      </c>
      <c r="B18" s="133">
        <v>1.1742999999999999</v>
      </c>
      <c r="C18" s="135">
        <v>1.1914</v>
      </c>
      <c r="D18" s="135">
        <v>1.2083999999999999</v>
      </c>
      <c r="E18" s="106">
        <v>1.1718999999999999</v>
      </c>
      <c r="F18" s="106">
        <v>1.1889000000000001</v>
      </c>
      <c r="G18" s="106">
        <v>1.206</v>
      </c>
      <c r="H18" s="101">
        <v>1.1695</v>
      </c>
      <c r="I18" s="137">
        <v>1.1866000000000001</v>
      </c>
      <c r="J18" s="137">
        <v>1.2036</v>
      </c>
      <c r="K18" s="141">
        <v>1.167</v>
      </c>
      <c r="L18" s="141">
        <v>1.1540999999999999</v>
      </c>
      <c r="M18" s="139">
        <v>1.2011000000000001</v>
      </c>
      <c r="N18" s="133">
        <v>1.1760999999999999</v>
      </c>
      <c r="O18" s="135">
        <v>1.1932</v>
      </c>
      <c r="P18" s="135">
        <v>1.2101999999999999</v>
      </c>
      <c r="Q18" s="106">
        <v>1.1738</v>
      </c>
      <c r="R18" s="106">
        <v>1.1908000000000001</v>
      </c>
      <c r="S18" s="106">
        <v>1.2079</v>
      </c>
      <c r="T18" s="101">
        <v>1.1713</v>
      </c>
      <c r="U18" s="137">
        <v>1.1883999999999999</v>
      </c>
      <c r="V18" s="137">
        <v>1.2054</v>
      </c>
      <c r="W18" s="141">
        <v>1.169</v>
      </c>
      <c r="X18" s="141">
        <v>1.1859999999999999</v>
      </c>
      <c r="Y18" s="139">
        <v>1.2031000000000001</v>
      </c>
      <c r="Z18" s="133">
        <v>1.1780999999999999</v>
      </c>
      <c r="AA18" s="135">
        <v>1.1910000000000001</v>
      </c>
      <c r="AB18" s="135">
        <v>1.2121999999999999</v>
      </c>
      <c r="AC18" s="106">
        <v>1.1756</v>
      </c>
      <c r="AD18" s="106">
        <v>1.1927000000000001</v>
      </c>
      <c r="AE18" s="106">
        <v>1.2097</v>
      </c>
      <c r="AF18" s="101">
        <v>1.1733</v>
      </c>
      <c r="AG18" s="137">
        <v>1.1902999999999999</v>
      </c>
      <c r="AH18" s="137">
        <v>1.2073</v>
      </c>
      <c r="AI18" s="141">
        <v>1.1708000000000001</v>
      </c>
      <c r="AJ18" s="141">
        <v>1.1878</v>
      </c>
      <c r="AK18" s="170">
        <v>1.2049000000000001</v>
      </c>
    </row>
    <row r="19" spans="1:37">
      <c r="A19" s="93">
        <v>120</v>
      </c>
      <c r="B19" s="133">
        <v>1.173</v>
      </c>
      <c r="C19" s="135">
        <v>1.1902999999999999</v>
      </c>
      <c r="D19" s="135">
        <v>1.2075</v>
      </c>
      <c r="E19" s="106">
        <v>1.1705000000000001</v>
      </c>
      <c r="F19" s="106">
        <v>1.1877</v>
      </c>
      <c r="G19" s="106">
        <v>1.2049000000000001</v>
      </c>
      <c r="H19" s="101">
        <v>1.1678999999999999</v>
      </c>
      <c r="I19" s="137">
        <v>1.1851</v>
      </c>
      <c r="J19" s="137">
        <v>1.2023999999999999</v>
      </c>
      <c r="K19" s="141">
        <v>1.1654</v>
      </c>
      <c r="L19" s="141">
        <v>1.1827000000000001</v>
      </c>
      <c r="M19" s="139">
        <v>1.1999</v>
      </c>
      <c r="N19" s="133">
        <v>1.1751</v>
      </c>
      <c r="O19" s="135">
        <v>1.1922999999999999</v>
      </c>
      <c r="P19" s="135">
        <v>1.2095</v>
      </c>
      <c r="Q19" s="106">
        <v>1.1725000000000001</v>
      </c>
      <c r="R19" s="106">
        <v>1.1897</v>
      </c>
      <c r="S19" s="106">
        <v>1.2070000000000001</v>
      </c>
      <c r="T19" s="101">
        <v>1.1698999999999999</v>
      </c>
      <c r="U19" s="137">
        <v>1.1872</v>
      </c>
      <c r="V19" s="137">
        <v>1.2043999999999999</v>
      </c>
      <c r="W19" s="141">
        <v>1.1674</v>
      </c>
      <c r="X19" s="141">
        <v>1.1846000000000001</v>
      </c>
      <c r="Y19" s="139">
        <v>1.2018</v>
      </c>
      <c r="Z19" s="133">
        <v>1.177</v>
      </c>
      <c r="AA19" s="135">
        <v>1.1941999999999999</v>
      </c>
      <c r="AB19" s="135">
        <v>1.2114</v>
      </c>
      <c r="AC19" s="106">
        <v>1.1745000000000001</v>
      </c>
      <c r="AD19" s="106">
        <v>1.1918</v>
      </c>
      <c r="AE19" s="106">
        <v>1.2090000000000001</v>
      </c>
      <c r="AF19" s="101">
        <v>1.1719999999999999</v>
      </c>
      <c r="AG19" s="137">
        <v>1.1892</v>
      </c>
      <c r="AH19" s="137">
        <v>1.2063999999999999</v>
      </c>
      <c r="AI19" s="141">
        <v>1.1694</v>
      </c>
      <c r="AJ19" s="141">
        <v>1.1866000000000001</v>
      </c>
      <c r="AK19" s="170">
        <v>1.2039</v>
      </c>
    </row>
    <row r="20" spans="1:37">
      <c r="A20" s="93">
        <v>130</v>
      </c>
      <c r="B20" s="133">
        <v>1.171</v>
      </c>
      <c r="C20" s="135">
        <v>1.1879999999999999</v>
      </c>
      <c r="D20" s="135">
        <v>1.2050000000000001</v>
      </c>
      <c r="E20" s="106">
        <v>1.1685000000000001</v>
      </c>
      <c r="F20" s="106">
        <v>1.1855</v>
      </c>
      <c r="G20" s="106">
        <v>1.2025999999999999</v>
      </c>
      <c r="H20" s="101">
        <v>1.1659999999999999</v>
      </c>
      <c r="I20" s="137">
        <v>1.1830000000000001</v>
      </c>
      <c r="J20" s="137">
        <v>1.2</v>
      </c>
      <c r="K20" s="141">
        <v>1.1634</v>
      </c>
      <c r="L20" s="141">
        <v>1.1803999999999999</v>
      </c>
      <c r="M20" s="139">
        <v>1.1974</v>
      </c>
      <c r="N20" s="133">
        <v>1.173</v>
      </c>
      <c r="O20" s="135">
        <v>1.19</v>
      </c>
      <c r="P20" s="135">
        <v>1.2070000000000001</v>
      </c>
      <c r="Q20" s="106">
        <v>1.1705000000000001</v>
      </c>
      <c r="R20" s="106">
        <v>1.1875</v>
      </c>
      <c r="S20" s="106">
        <v>1.2044999999999999</v>
      </c>
      <c r="T20" s="101">
        <v>1.1679999999999999</v>
      </c>
      <c r="U20" s="137">
        <v>1.1850000000000001</v>
      </c>
      <c r="V20" s="137">
        <v>1.202</v>
      </c>
      <c r="W20" s="141">
        <v>1.1654</v>
      </c>
      <c r="X20" s="141">
        <v>1.1823999999999999</v>
      </c>
      <c r="Y20" s="139">
        <v>1.1994</v>
      </c>
      <c r="Z20" s="133">
        <v>1.1751</v>
      </c>
      <c r="AA20" s="135">
        <v>1.1920999999999999</v>
      </c>
      <c r="AB20" s="135">
        <v>1.2091000000000001</v>
      </c>
      <c r="AC20" s="106">
        <v>1.1725000000000001</v>
      </c>
      <c r="AD20" s="106">
        <v>1.1895</v>
      </c>
      <c r="AE20" s="106">
        <v>1.2064999999999999</v>
      </c>
      <c r="AF20" s="101">
        <v>1.1698999999999999</v>
      </c>
      <c r="AG20" s="137">
        <v>1.1869000000000001</v>
      </c>
      <c r="AH20" s="137">
        <v>1.2039</v>
      </c>
      <c r="AI20" s="141">
        <v>1.16675</v>
      </c>
      <c r="AJ20" s="141">
        <v>1.12845</v>
      </c>
      <c r="AK20" s="170">
        <v>1.2015</v>
      </c>
    </row>
    <row r="21" spans="1:37">
      <c r="A21" s="93">
        <v>140</v>
      </c>
      <c r="B21" s="133">
        <v>1.1698</v>
      </c>
      <c r="C21" s="135">
        <v>1.1870000000000001</v>
      </c>
      <c r="D21" s="135">
        <v>1.2040999999999999</v>
      </c>
      <c r="E21" s="106">
        <v>1.1672</v>
      </c>
      <c r="F21" s="106">
        <v>1.1842999999999999</v>
      </c>
      <c r="G21" s="106">
        <v>1.2015</v>
      </c>
      <c r="H21" s="101">
        <v>1.1645000000000001</v>
      </c>
      <c r="I21" s="137">
        <v>1.1816</v>
      </c>
      <c r="J21" s="137">
        <v>1.1988000000000001</v>
      </c>
      <c r="K21" s="141">
        <v>1.1518999999999999</v>
      </c>
      <c r="L21" s="141">
        <v>1.179</v>
      </c>
      <c r="M21" s="139">
        <v>1.1960999999999999</v>
      </c>
      <c r="N21" s="133">
        <v>1.1719999999999999</v>
      </c>
      <c r="O21" s="135">
        <v>1.1891</v>
      </c>
      <c r="P21" s="135">
        <v>1.2062999999999999</v>
      </c>
      <c r="Q21" s="106">
        <v>1.1693</v>
      </c>
      <c r="R21" s="106">
        <v>1.1865000000000001</v>
      </c>
      <c r="S21" s="106">
        <v>1.2036</v>
      </c>
      <c r="T21" s="101">
        <v>1.1666000000000001</v>
      </c>
      <c r="U21" s="137">
        <v>1.1838</v>
      </c>
      <c r="V21" s="137">
        <v>1.2009000000000001</v>
      </c>
      <c r="W21" s="141">
        <v>1.1638999999999999</v>
      </c>
      <c r="X21" s="141">
        <v>1.1811</v>
      </c>
      <c r="Y21" s="139">
        <v>1.1982999999999999</v>
      </c>
      <c r="Z21" s="133">
        <v>1.1740999999999999</v>
      </c>
      <c r="AA21" s="135">
        <v>1.1913</v>
      </c>
      <c r="AB21" s="135">
        <v>1.2083999999999999</v>
      </c>
      <c r="AC21" s="106">
        <v>1.1714</v>
      </c>
      <c r="AD21" s="106">
        <v>1.1886000000000001</v>
      </c>
      <c r="AE21" s="106">
        <v>1.2057</v>
      </c>
      <c r="AF21" s="101">
        <v>1.1688000000000001</v>
      </c>
      <c r="AG21" s="137">
        <v>1.1859</v>
      </c>
      <c r="AH21" s="137">
        <v>1.2031000000000001</v>
      </c>
      <c r="AI21" s="141">
        <v>1.1660999999999999</v>
      </c>
      <c r="AJ21" s="141">
        <v>1.1832</v>
      </c>
      <c r="AK21" s="170">
        <v>1.2003999999999999</v>
      </c>
    </row>
    <row r="22" spans="1:37">
      <c r="A22" s="93">
        <v>150</v>
      </c>
      <c r="B22" s="133">
        <v>1.1682999999999999</v>
      </c>
      <c r="C22" s="135">
        <v>1.1853</v>
      </c>
      <c r="D22" s="135">
        <v>1.2022999999999999</v>
      </c>
      <c r="E22" s="106">
        <v>1.1657</v>
      </c>
      <c r="F22" s="106">
        <v>1.1826000000000001</v>
      </c>
      <c r="G22" s="106">
        <v>1.1996</v>
      </c>
      <c r="H22" s="101">
        <v>1.163</v>
      </c>
      <c r="I22" s="137">
        <v>1.18</v>
      </c>
      <c r="J22" s="137">
        <v>1.1969000000000001</v>
      </c>
      <c r="K22" s="141">
        <v>1.1603000000000001</v>
      </c>
      <c r="L22" s="141">
        <v>1.1773</v>
      </c>
      <c r="M22" s="139">
        <v>1.1942999999999999</v>
      </c>
      <c r="N22" s="133">
        <v>1.1705000000000001</v>
      </c>
      <c r="O22" s="135">
        <v>1.1874</v>
      </c>
      <c r="P22" s="135">
        <v>1.2043999999999999</v>
      </c>
      <c r="Q22" s="106">
        <v>1.1677999999999999</v>
      </c>
      <c r="R22" s="106">
        <v>1.1548</v>
      </c>
      <c r="S22" s="106">
        <v>1.2018</v>
      </c>
      <c r="T22" s="101">
        <v>1.1651</v>
      </c>
      <c r="U22" s="137">
        <v>1.1820999999999999</v>
      </c>
      <c r="V22" s="137">
        <v>1.1991000000000001</v>
      </c>
      <c r="W22" s="141">
        <v>1.1624000000000001</v>
      </c>
      <c r="X22" s="141">
        <v>1.1794</v>
      </c>
      <c r="Y22" s="139">
        <v>1.1963999999999999</v>
      </c>
      <c r="Z22" s="133">
        <v>1.1726000000000001</v>
      </c>
      <c r="AA22" s="135">
        <v>1.1896</v>
      </c>
      <c r="AB22" s="135">
        <v>1.2065999999999999</v>
      </c>
      <c r="AC22" s="106">
        <v>1.1698999999999999</v>
      </c>
      <c r="AD22" s="106">
        <v>1.1869000000000001</v>
      </c>
      <c r="AE22" s="106">
        <v>1.2039</v>
      </c>
      <c r="AF22" s="101">
        <v>1.1673</v>
      </c>
      <c r="AG22" s="137">
        <v>1.1841999999999999</v>
      </c>
      <c r="AH22" s="137">
        <v>1.2012</v>
      </c>
      <c r="AI22" s="141">
        <v>1.1646000000000001</v>
      </c>
      <c r="AJ22" s="141">
        <v>1.1816</v>
      </c>
      <c r="AK22" s="170">
        <v>1.1984999999999999</v>
      </c>
    </row>
    <row r="23" spans="1:37">
      <c r="A23" s="93">
        <v>160</v>
      </c>
      <c r="B23" s="133">
        <v>1.1673</v>
      </c>
      <c r="C23" s="135">
        <v>1.1843999999999999</v>
      </c>
      <c r="D23" s="135">
        <v>1.2015</v>
      </c>
      <c r="E23" s="106">
        <v>1.1644000000000001</v>
      </c>
      <c r="F23" s="106">
        <v>1.1815</v>
      </c>
      <c r="G23" s="106">
        <v>1.1986000000000001</v>
      </c>
      <c r="H23" s="101">
        <v>1.1616</v>
      </c>
      <c r="I23" s="137">
        <v>1.1787000000000001</v>
      </c>
      <c r="J23" s="137">
        <v>1.1958</v>
      </c>
      <c r="K23" s="141">
        <v>1.1588000000000001</v>
      </c>
      <c r="L23" s="141">
        <v>1.1758999999999999</v>
      </c>
      <c r="M23" s="139">
        <v>1.1930000000000001</v>
      </c>
      <c r="N23" s="133">
        <v>1.1695</v>
      </c>
      <c r="O23" s="135">
        <v>1.1866000000000001</v>
      </c>
      <c r="P23" s="135">
        <v>1.2037</v>
      </c>
      <c r="Q23" s="106">
        <v>1.1667000000000001</v>
      </c>
      <c r="R23" s="106">
        <v>1.1283799999999999</v>
      </c>
      <c r="S23" s="106">
        <v>1.2010000000000001</v>
      </c>
      <c r="T23" s="101">
        <v>1.1637999999999999</v>
      </c>
      <c r="U23" s="137">
        <v>1.181</v>
      </c>
      <c r="V23" s="137">
        <v>1.1980999999999999</v>
      </c>
      <c r="W23" s="141">
        <v>1.1611</v>
      </c>
      <c r="X23" s="141">
        <v>1.1781999999999999</v>
      </c>
      <c r="Y23" s="139">
        <v>1.1953</v>
      </c>
      <c r="Z23" s="133">
        <v>1.1718</v>
      </c>
      <c r="AA23" s="135">
        <v>1.1889000000000001</v>
      </c>
      <c r="AB23" s="135">
        <v>1.206</v>
      </c>
      <c r="AC23" s="106">
        <v>1.169</v>
      </c>
      <c r="AD23" s="106">
        <v>1.1860999999999999</v>
      </c>
      <c r="AE23" s="106">
        <v>1.2032</v>
      </c>
      <c r="AF23" s="101">
        <v>1.1661999999999999</v>
      </c>
      <c r="AG23" s="137">
        <v>1.1833</v>
      </c>
      <c r="AH23" s="137">
        <v>1.2003999999999999</v>
      </c>
      <c r="AI23" s="141">
        <v>1.1633</v>
      </c>
      <c r="AJ23" s="141">
        <v>1.1504000000000001</v>
      </c>
      <c r="AK23" s="170">
        <v>1.1975</v>
      </c>
    </row>
    <row r="24" spans="1:37">
      <c r="A24" s="93">
        <v>170</v>
      </c>
      <c r="B24" s="133">
        <v>1.1664000000000001</v>
      </c>
      <c r="C24" s="135">
        <v>1.1834</v>
      </c>
      <c r="D24" s="135">
        <v>1.2003999999999999</v>
      </c>
      <c r="E24" s="106">
        <v>1.1635</v>
      </c>
      <c r="F24" s="106">
        <v>1.1805000000000001</v>
      </c>
      <c r="G24" s="106">
        <v>1.1975</v>
      </c>
      <c r="H24" s="101">
        <v>1.1607000000000001</v>
      </c>
      <c r="I24" s="137">
        <v>1.1777</v>
      </c>
      <c r="J24" s="137">
        <v>1.1948000000000001</v>
      </c>
      <c r="K24" s="141">
        <v>1.1579999999999999</v>
      </c>
      <c r="L24" s="141">
        <v>1.175</v>
      </c>
      <c r="M24" s="139">
        <v>1.1919999999999999</v>
      </c>
      <c r="N24" s="133">
        <v>1.1687000000000001</v>
      </c>
      <c r="O24" s="135">
        <v>1.1857</v>
      </c>
      <c r="P24" s="135">
        <v>1.2027000000000001</v>
      </c>
      <c r="Q24" s="106">
        <v>1.1658999999999999</v>
      </c>
      <c r="R24" s="106">
        <v>1.1829000000000001</v>
      </c>
      <c r="S24" s="106">
        <v>1.1999</v>
      </c>
      <c r="T24" s="101">
        <v>1.163</v>
      </c>
      <c r="U24" s="137">
        <v>1.18</v>
      </c>
      <c r="V24" s="137">
        <v>1.1970000000000001</v>
      </c>
      <c r="W24" s="141">
        <v>1.1601999999999999</v>
      </c>
      <c r="X24" s="141">
        <v>1.1772</v>
      </c>
      <c r="Y24" s="139">
        <v>1.1941999999999999</v>
      </c>
      <c r="Z24" s="133">
        <v>1.1709000000000001</v>
      </c>
      <c r="AA24" s="135">
        <v>1.1879</v>
      </c>
      <c r="AB24" s="135">
        <v>1.2049000000000001</v>
      </c>
      <c r="AC24" s="106">
        <v>1.1680999999999999</v>
      </c>
      <c r="AD24" s="106">
        <v>1.1851</v>
      </c>
      <c r="AE24" s="106">
        <v>1.2020999999999999</v>
      </c>
      <c r="AF24" s="101">
        <v>1.1653</v>
      </c>
      <c r="AG24" s="137">
        <v>1.1822999999999999</v>
      </c>
      <c r="AH24" s="137">
        <v>1.1994</v>
      </c>
      <c r="AI24" s="141">
        <v>1.1624000000000001</v>
      </c>
      <c r="AJ24" s="141">
        <v>1.1795</v>
      </c>
      <c r="AK24" s="170">
        <v>1.1964999999999999</v>
      </c>
    </row>
    <row r="25" spans="1:37">
      <c r="A25" s="93">
        <v>180</v>
      </c>
      <c r="B25" s="133">
        <v>1.1657999999999999</v>
      </c>
      <c r="C25" s="135">
        <v>1.1827000000000001</v>
      </c>
      <c r="D25" s="135">
        <v>1.1996</v>
      </c>
      <c r="E25" s="106">
        <v>1.163</v>
      </c>
      <c r="F25" s="106">
        <v>1.1798999999999999</v>
      </c>
      <c r="G25" s="106">
        <v>1.1969000000000001</v>
      </c>
      <c r="H25" s="101">
        <v>1.1500999999999999</v>
      </c>
      <c r="I25" s="137">
        <v>1.177</v>
      </c>
      <c r="J25" s="137">
        <v>1.194</v>
      </c>
      <c r="K25" s="141">
        <v>1.1573</v>
      </c>
      <c r="L25" s="141">
        <v>1.1741999999999999</v>
      </c>
      <c r="M25" s="139">
        <v>1.1912</v>
      </c>
      <c r="N25" s="133">
        <v>1.1679999999999999</v>
      </c>
      <c r="O25" s="135">
        <v>1.1849000000000001</v>
      </c>
      <c r="P25" s="135">
        <v>1.2019</v>
      </c>
      <c r="Q25" s="106">
        <v>1.1652</v>
      </c>
      <c r="R25" s="106">
        <v>1.1821999999999999</v>
      </c>
      <c r="S25" s="106">
        <v>1.1991000000000001</v>
      </c>
      <c r="T25" s="101">
        <v>1.1624000000000001</v>
      </c>
      <c r="U25" s="137">
        <v>1.1794</v>
      </c>
      <c r="V25" s="137">
        <v>1.1962999999999999</v>
      </c>
      <c r="W25" s="141">
        <v>1.1596</v>
      </c>
      <c r="X25" s="141">
        <v>1.1765000000000001</v>
      </c>
      <c r="Y25" s="139">
        <v>1.1934</v>
      </c>
      <c r="Z25" s="133">
        <v>1.1702999999999999</v>
      </c>
      <c r="AA25" s="135">
        <v>1.1872</v>
      </c>
      <c r="AB25" s="135">
        <v>1.2040999999999999</v>
      </c>
      <c r="AC25" s="106">
        <v>1.1675</v>
      </c>
      <c r="AD25" s="106">
        <v>1.1843999999999999</v>
      </c>
      <c r="AE25" s="106">
        <v>1.2013</v>
      </c>
      <c r="AF25" s="101">
        <v>1.1647000000000001</v>
      </c>
      <c r="AG25" s="137">
        <v>1.1816</v>
      </c>
      <c r="AH25" s="137">
        <v>1.1986000000000001</v>
      </c>
      <c r="AI25" s="141">
        <v>1.1618999999999999</v>
      </c>
      <c r="AJ25" s="141">
        <v>1.1788000000000001</v>
      </c>
      <c r="AK25" s="170">
        <v>1.1958</v>
      </c>
    </row>
    <row r="26" spans="1:37">
      <c r="A26" s="93">
        <v>190</v>
      </c>
      <c r="B26" s="133">
        <v>1.1629</v>
      </c>
      <c r="C26" s="135">
        <v>1.1807000000000001</v>
      </c>
      <c r="D26" s="135">
        <v>1.1984999999999999</v>
      </c>
      <c r="E26" s="106">
        <v>1.1595</v>
      </c>
      <c r="F26" s="106">
        <v>1.1776</v>
      </c>
      <c r="G26" s="106">
        <v>1.1954</v>
      </c>
      <c r="H26" s="101">
        <v>1.1568000000000001</v>
      </c>
      <c r="I26" s="137">
        <v>1.1746000000000001</v>
      </c>
      <c r="J26" s="137">
        <v>1.1923999999999999</v>
      </c>
      <c r="K26" s="141">
        <v>1.1536999999999999</v>
      </c>
      <c r="L26" s="141">
        <v>1.1715</v>
      </c>
      <c r="M26" s="139">
        <v>1.1893</v>
      </c>
      <c r="N26" s="133">
        <v>1.1654</v>
      </c>
      <c r="O26" s="135">
        <v>1.1832</v>
      </c>
      <c r="P26" s="135">
        <v>1.2010000000000001</v>
      </c>
      <c r="Q26" s="106">
        <v>1.1623000000000001</v>
      </c>
      <c r="R26" s="106">
        <v>1.1800999999999999</v>
      </c>
      <c r="S26" s="106">
        <v>1.1979</v>
      </c>
      <c r="T26" s="101">
        <v>1.1592</v>
      </c>
      <c r="U26" s="137">
        <v>1.177</v>
      </c>
      <c r="V26" s="137">
        <v>1.1948000000000001</v>
      </c>
      <c r="W26" s="141">
        <v>1.1561999999999999</v>
      </c>
      <c r="X26" s="141">
        <v>1.1739999999999999</v>
      </c>
      <c r="Y26" s="139">
        <v>1.1918</v>
      </c>
      <c r="Z26" s="133">
        <v>1.1679999999999999</v>
      </c>
      <c r="AA26" s="135">
        <v>1.1858</v>
      </c>
      <c r="AB26" s="135">
        <v>1.2036</v>
      </c>
      <c r="AC26" s="106">
        <v>1.1649</v>
      </c>
      <c r="AD26" s="106">
        <v>1.1827000000000001</v>
      </c>
      <c r="AE26" s="106">
        <v>1.2004999999999999</v>
      </c>
      <c r="AF26" s="101">
        <v>1.1617999999999999</v>
      </c>
      <c r="AG26" s="137">
        <v>1.1796</v>
      </c>
      <c r="AH26" s="137">
        <v>1.1974</v>
      </c>
      <c r="AI26" s="141">
        <v>1.1587000000000001</v>
      </c>
      <c r="AJ26" s="141">
        <v>1.1765000000000001</v>
      </c>
      <c r="AK26" s="170">
        <v>1.1942999999999999</v>
      </c>
    </row>
    <row r="27" spans="1:37">
      <c r="A27" s="93">
        <v>200</v>
      </c>
      <c r="B27" s="133">
        <v>1.1627000000000001</v>
      </c>
      <c r="C27" s="135">
        <v>1.1803999999999999</v>
      </c>
      <c r="D27" s="135">
        <v>1.1981999999999999</v>
      </c>
      <c r="E27" s="106">
        <v>1.1596</v>
      </c>
      <c r="F27" s="106">
        <v>1.1773</v>
      </c>
      <c r="G27" s="106">
        <v>1.1951000000000001</v>
      </c>
      <c r="H27" s="101">
        <v>1.1565000000000001</v>
      </c>
      <c r="I27" s="137">
        <v>1.1741999999999999</v>
      </c>
      <c r="J27" s="137">
        <v>1.1919999999999999</v>
      </c>
      <c r="K27" s="141">
        <v>1.1534</v>
      </c>
      <c r="L27" s="141">
        <v>1.1711</v>
      </c>
      <c r="M27" s="139">
        <v>1.1889000000000001</v>
      </c>
      <c r="N27" s="133">
        <v>1.1651</v>
      </c>
      <c r="O27" s="135">
        <v>1.1829000000000001</v>
      </c>
      <c r="P27" s="135">
        <v>1.2005999999999999</v>
      </c>
      <c r="Q27" s="106">
        <v>1.1620999999999999</v>
      </c>
      <c r="R27" s="106">
        <v>1.1798999999999999</v>
      </c>
      <c r="S27" s="106">
        <v>1.1976</v>
      </c>
      <c r="T27" s="101">
        <v>1.159</v>
      </c>
      <c r="U27" s="137">
        <v>1.1768000000000001</v>
      </c>
      <c r="V27" s="137">
        <v>1.1944999999999999</v>
      </c>
      <c r="W27" s="141">
        <v>1.1558999999999999</v>
      </c>
      <c r="X27" s="141">
        <v>1.1737</v>
      </c>
      <c r="Y27" s="139">
        <v>1.1914</v>
      </c>
      <c r="Z27" s="133">
        <v>1.1677</v>
      </c>
      <c r="AA27" s="135">
        <v>1.1854</v>
      </c>
      <c r="AB27" s="135">
        <v>1.2032</v>
      </c>
      <c r="AC27" s="106">
        <v>1.1646000000000001</v>
      </c>
      <c r="AD27" s="106">
        <v>1.1822999999999999</v>
      </c>
      <c r="AE27" s="106">
        <v>1.2000999999999999</v>
      </c>
      <c r="AF27" s="101">
        <v>1.1516</v>
      </c>
      <c r="AG27" s="137">
        <v>1.1793</v>
      </c>
      <c r="AH27" s="137">
        <v>1.1971000000000001</v>
      </c>
      <c r="AI27" s="141">
        <v>1.1585000000000001</v>
      </c>
      <c r="AJ27" s="141">
        <v>1.1761999999999999</v>
      </c>
      <c r="AK27" s="170">
        <v>1.194</v>
      </c>
    </row>
    <row r="28" spans="1:37">
      <c r="A28" s="93">
        <v>210</v>
      </c>
      <c r="B28" s="133">
        <v>1.1615</v>
      </c>
      <c r="C28" s="135">
        <v>1.1794</v>
      </c>
      <c r="D28" s="135">
        <v>1.1972</v>
      </c>
      <c r="E28" s="106">
        <v>1.1583000000000001</v>
      </c>
      <c r="F28" s="106">
        <v>1.1760999999999999</v>
      </c>
      <c r="G28" s="106">
        <v>1.194</v>
      </c>
      <c r="H28" s="101">
        <v>1.1551</v>
      </c>
      <c r="I28" s="137">
        <v>1.1729000000000001</v>
      </c>
      <c r="J28" s="137">
        <v>1.1908000000000001</v>
      </c>
      <c r="K28" s="141">
        <v>1.1518999999999999</v>
      </c>
      <c r="L28" s="141">
        <v>1.1697</v>
      </c>
      <c r="M28" s="139">
        <v>1.1876</v>
      </c>
      <c r="N28" s="133">
        <v>1.1641999999999999</v>
      </c>
      <c r="O28" s="135">
        <v>1.1819999999999999</v>
      </c>
      <c r="P28" s="135">
        <v>1.1999</v>
      </c>
      <c r="Q28" s="106">
        <v>1.161</v>
      </c>
      <c r="R28" s="106">
        <v>1.1788000000000001</v>
      </c>
      <c r="S28" s="106">
        <v>1.1967000000000001</v>
      </c>
      <c r="T28" s="101">
        <v>1.1577</v>
      </c>
      <c r="U28" s="137">
        <v>1.1756</v>
      </c>
      <c r="V28" s="137">
        <v>1.1935</v>
      </c>
      <c r="W28" s="141">
        <v>1.1545000000000001</v>
      </c>
      <c r="X28" s="141">
        <v>1.1724000000000001</v>
      </c>
      <c r="Y28" s="139">
        <v>1.1902999999999999</v>
      </c>
      <c r="Z28" s="133">
        <v>1.1668000000000001</v>
      </c>
      <c r="AA28" s="135">
        <v>1.1847000000000001</v>
      </c>
      <c r="AB28" s="135">
        <v>1.2025999999999999</v>
      </c>
      <c r="AC28" s="106">
        <v>1.1636</v>
      </c>
      <c r="AD28" s="106">
        <v>1.1815</v>
      </c>
      <c r="AE28" s="106">
        <v>1.1994</v>
      </c>
      <c r="AF28" s="101">
        <v>1.1604000000000001</v>
      </c>
      <c r="AG28" s="137">
        <v>1.1782999999999999</v>
      </c>
      <c r="AH28" s="137">
        <v>1.1960999999999999</v>
      </c>
      <c r="AI28" s="141">
        <v>1.1572</v>
      </c>
      <c r="AJ28" s="141">
        <v>1.1751</v>
      </c>
      <c r="AK28" s="170">
        <v>1.1929000000000001</v>
      </c>
    </row>
    <row r="29" spans="1:37">
      <c r="A29" s="93">
        <v>220</v>
      </c>
      <c r="B29" s="133">
        <v>1.1513</v>
      </c>
      <c r="C29" s="135">
        <v>1.1791</v>
      </c>
      <c r="D29" s="135">
        <v>1.1969000000000001</v>
      </c>
      <c r="E29" s="106">
        <v>1.1580999999999999</v>
      </c>
      <c r="F29" s="106">
        <v>1.1758999999999999</v>
      </c>
      <c r="G29" s="106">
        <v>1.1937</v>
      </c>
      <c r="H29" s="101">
        <v>1.1549</v>
      </c>
      <c r="I29" s="137">
        <v>1.1727000000000001</v>
      </c>
      <c r="J29" s="137">
        <v>1.1904999999999999</v>
      </c>
      <c r="K29" s="141">
        <v>1.1516</v>
      </c>
      <c r="L29" s="141">
        <v>1.1695</v>
      </c>
      <c r="M29" s="139">
        <v>1.1873</v>
      </c>
      <c r="N29" s="133">
        <v>1.1638900000000001</v>
      </c>
      <c r="O29" s="135">
        <v>1.1818</v>
      </c>
      <c r="P29" s="135">
        <v>1.1996</v>
      </c>
      <c r="Q29" s="106">
        <v>1.1607000000000001</v>
      </c>
      <c r="R29" s="106">
        <v>1.1786000000000001</v>
      </c>
      <c r="S29" s="106">
        <v>1.1963999999999999</v>
      </c>
      <c r="T29" s="101">
        <v>1.1575</v>
      </c>
      <c r="U29" s="137">
        <v>1.1754</v>
      </c>
      <c r="V29" s="137">
        <v>1.1932</v>
      </c>
      <c r="W29" s="141">
        <v>1.1543000000000001</v>
      </c>
      <c r="X29" s="141">
        <v>1.1720999999999999</v>
      </c>
      <c r="Y29" s="139">
        <v>1.19</v>
      </c>
      <c r="Z29" s="133">
        <v>1.1666000000000001</v>
      </c>
      <c r="AA29" s="135">
        <v>1.1843999999999999</v>
      </c>
      <c r="AB29" s="135">
        <v>1.2022999999999999</v>
      </c>
      <c r="AC29" s="106">
        <v>1.1634</v>
      </c>
      <c r="AD29" s="106">
        <v>1.1812</v>
      </c>
      <c r="AE29" s="106">
        <v>1.1991000000000001</v>
      </c>
      <c r="AF29" s="101">
        <v>1.1601999999999999</v>
      </c>
      <c r="AG29" s="137">
        <v>1.1779999999999999</v>
      </c>
      <c r="AH29" s="137">
        <v>1.1959</v>
      </c>
      <c r="AI29" s="141">
        <v>1.157</v>
      </c>
      <c r="AJ29" s="141">
        <v>1.1748000000000001</v>
      </c>
      <c r="AK29" s="170">
        <v>1.1926000000000001</v>
      </c>
    </row>
    <row r="30" spans="1:37">
      <c r="A30" s="93">
        <v>230</v>
      </c>
      <c r="B30" s="133">
        <v>1.1503000000000001</v>
      </c>
      <c r="C30" s="135">
        <v>1.1779999999999999</v>
      </c>
      <c r="D30" s="135">
        <v>1.1957</v>
      </c>
      <c r="E30" s="106">
        <v>1.1571</v>
      </c>
      <c r="F30" s="106">
        <v>1.1748000000000001</v>
      </c>
      <c r="G30" s="106">
        <v>1.1924999999999999</v>
      </c>
      <c r="H30" s="101">
        <v>1.1538999999999999</v>
      </c>
      <c r="I30" s="137">
        <v>1.1716</v>
      </c>
      <c r="J30" s="137">
        <v>1.1893</v>
      </c>
      <c r="K30" s="141">
        <v>1.1507000000000001</v>
      </c>
      <c r="L30" s="141">
        <v>1.1684000000000001</v>
      </c>
      <c r="M30" s="139">
        <v>1.1860999999999999</v>
      </c>
      <c r="N30" s="133">
        <v>1.163</v>
      </c>
      <c r="O30" s="135">
        <v>1.1807000000000001</v>
      </c>
      <c r="P30" s="135">
        <v>1.1983999999999999</v>
      </c>
      <c r="Q30" s="106">
        <v>1.1597999999999999</v>
      </c>
      <c r="R30" s="106">
        <v>1.1775</v>
      </c>
      <c r="S30" s="106">
        <v>1.1952</v>
      </c>
      <c r="T30" s="101">
        <v>1.1566000000000001</v>
      </c>
      <c r="U30" s="137">
        <v>1.1742999999999999</v>
      </c>
      <c r="V30" s="137">
        <v>1.1919</v>
      </c>
      <c r="W30" s="141">
        <v>1.1534</v>
      </c>
      <c r="X30" s="141">
        <v>1.1471</v>
      </c>
      <c r="Y30" s="139">
        <v>1.1887000000000001</v>
      </c>
      <c r="Z30" s="133">
        <v>1.1657</v>
      </c>
      <c r="AA30" s="135">
        <v>1.1833</v>
      </c>
      <c r="AB30" s="135">
        <v>1.2010000000000001</v>
      </c>
      <c r="AC30" s="106">
        <v>1.1624000000000001</v>
      </c>
      <c r="AD30" s="106">
        <v>1.1800999999999999</v>
      </c>
      <c r="AE30" s="106">
        <v>1.1978</v>
      </c>
      <c r="AF30" s="101">
        <v>1.1592</v>
      </c>
      <c r="AG30" s="137">
        <v>1.1769000000000001</v>
      </c>
      <c r="AH30" s="137">
        <v>1.1946000000000001</v>
      </c>
      <c r="AI30" s="141">
        <v>1.1559999999999999</v>
      </c>
      <c r="AJ30" s="141">
        <v>1.1737</v>
      </c>
      <c r="AK30" s="170">
        <v>1.1914</v>
      </c>
    </row>
    <row r="31" spans="1:37">
      <c r="A31" s="93">
        <v>240</v>
      </c>
      <c r="B31" s="133">
        <v>1.1595</v>
      </c>
      <c r="C31" s="135">
        <v>1.177</v>
      </c>
      <c r="D31" s="135">
        <v>1.1946000000000001</v>
      </c>
      <c r="E31" s="106">
        <v>1.1561999999999999</v>
      </c>
      <c r="F31" s="106">
        <v>1.1738</v>
      </c>
      <c r="G31" s="106">
        <v>1.1914</v>
      </c>
      <c r="H31" s="101">
        <v>1.153</v>
      </c>
      <c r="I31" s="137">
        <v>1.1706000000000001</v>
      </c>
      <c r="J31" s="137">
        <v>1.1881999999999999</v>
      </c>
      <c r="K31" s="141">
        <v>1.1497999999999999</v>
      </c>
      <c r="L31" s="141">
        <v>1.1674</v>
      </c>
      <c r="M31" s="139">
        <v>1.1850000000000001</v>
      </c>
      <c r="N31" s="133">
        <v>1.1620999999999999</v>
      </c>
      <c r="O31" s="135">
        <v>1.1797</v>
      </c>
      <c r="P31" s="135">
        <v>1.1973</v>
      </c>
      <c r="Q31" s="106">
        <v>1.1589</v>
      </c>
      <c r="R31" s="106">
        <v>1.1765000000000001</v>
      </c>
      <c r="S31" s="106">
        <v>1.194</v>
      </c>
      <c r="T31" s="101">
        <v>1.1556999999999999</v>
      </c>
      <c r="U31" s="137">
        <v>1.1733</v>
      </c>
      <c r="V31" s="137">
        <v>1.1908000000000001</v>
      </c>
      <c r="W31" s="141">
        <v>1.1525000000000001</v>
      </c>
      <c r="X31" s="141">
        <v>1.1700999999999999</v>
      </c>
      <c r="Y31" s="139">
        <v>1.1876</v>
      </c>
      <c r="Z31" s="133">
        <v>1.1648000000000001</v>
      </c>
      <c r="AA31" s="135">
        <v>1.1823999999999999</v>
      </c>
      <c r="AB31" s="135">
        <v>1.1999</v>
      </c>
      <c r="AC31" s="106">
        <v>1.1616</v>
      </c>
      <c r="AD31" s="106">
        <v>1.1792</v>
      </c>
      <c r="AE31" s="106">
        <v>1.1968000000000001</v>
      </c>
      <c r="AF31" s="101">
        <v>1.1584000000000001</v>
      </c>
      <c r="AG31" s="137">
        <v>1.1758999999999999</v>
      </c>
      <c r="AH31" s="137">
        <v>1.1935</v>
      </c>
      <c r="AI31" s="141">
        <v>1.1552</v>
      </c>
      <c r="AJ31" s="141">
        <v>1.1727000000000001</v>
      </c>
      <c r="AK31" s="103">
        <v>1.1902999999999999</v>
      </c>
    </row>
    <row r="32" spans="1:37">
      <c r="A32" s="93">
        <v>250</v>
      </c>
      <c r="B32" s="133">
        <v>1.1583000000000001</v>
      </c>
      <c r="C32" s="135">
        <v>1.1757</v>
      </c>
      <c r="D32" s="135">
        <v>1.1931</v>
      </c>
      <c r="E32" s="106">
        <v>1.1551</v>
      </c>
      <c r="F32" s="106">
        <v>1.1725000000000001</v>
      </c>
      <c r="G32" s="106">
        <v>1.1899</v>
      </c>
      <c r="H32" s="101">
        <v>1.1518999999999999</v>
      </c>
      <c r="I32" s="137">
        <v>1.1693</v>
      </c>
      <c r="J32" s="137">
        <v>1.1866000000000001</v>
      </c>
      <c r="K32" s="141">
        <v>1.1486000000000001</v>
      </c>
      <c r="L32" s="141">
        <v>1.1659999999999999</v>
      </c>
      <c r="M32" s="139">
        <v>1.1834</v>
      </c>
      <c r="N32" s="133">
        <v>1.161</v>
      </c>
      <c r="O32" s="135">
        <v>1.1782999999999999</v>
      </c>
      <c r="P32" s="135">
        <v>1.1957</v>
      </c>
      <c r="Q32" s="106">
        <v>1.1577</v>
      </c>
      <c r="R32" s="106">
        <v>1.1751</v>
      </c>
      <c r="S32" s="106">
        <v>1.1924999999999999</v>
      </c>
      <c r="T32" s="101">
        <v>1.1545000000000001</v>
      </c>
      <c r="U32" s="137">
        <v>1.1718999999999999</v>
      </c>
      <c r="V32" s="137">
        <v>1.1893</v>
      </c>
      <c r="W32" s="141">
        <v>1.1513</v>
      </c>
      <c r="X32" s="141">
        <v>1.1687000000000001</v>
      </c>
      <c r="Y32" s="139">
        <v>1.1860999999999999</v>
      </c>
      <c r="Z32" s="133">
        <v>1.1636</v>
      </c>
      <c r="AA32" s="135">
        <v>1.181</v>
      </c>
      <c r="AB32" s="135">
        <v>1.1983999999999999</v>
      </c>
      <c r="AC32" s="106">
        <v>1.1604000000000001</v>
      </c>
      <c r="AD32" s="106">
        <v>1.1778</v>
      </c>
      <c r="AE32" s="106">
        <v>1.1952</v>
      </c>
      <c r="AF32" s="101">
        <v>1.1572</v>
      </c>
      <c r="AG32" s="137">
        <v>0.17460000000000001</v>
      </c>
      <c r="AH32" s="137">
        <v>1.1919999999999999</v>
      </c>
      <c r="AI32" s="141">
        <v>1.1539999999999999</v>
      </c>
      <c r="AJ32" s="141">
        <v>1.1714</v>
      </c>
      <c r="AK32" s="103">
        <v>1.1888000000000001</v>
      </c>
    </row>
    <row r="33" spans="1:37">
      <c r="A33" s="93">
        <v>260</v>
      </c>
      <c r="B33" s="133">
        <v>1.1572</v>
      </c>
      <c r="C33" s="135">
        <v>1.1744000000000001</v>
      </c>
      <c r="D33" s="135">
        <v>1.1917</v>
      </c>
      <c r="E33" s="106">
        <v>1.1539999999999999</v>
      </c>
      <c r="F33" s="106">
        <v>1.1412</v>
      </c>
      <c r="G33" s="106">
        <v>1.1884999999999999</v>
      </c>
      <c r="H33" s="101">
        <v>1.1508</v>
      </c>
      <c r="I33" s="137">
        <v>1.1679999999999999</v>
      </c>
      <c r="J33" s="137">
        <v>1.1853</v>
      </c>
      <c r="K33" s="141">
        <v>1.1476</v>
      </c>
      <c r="L33" s="141">
        <v>1.1648000000000001</v>
      </c>
      <c r="M33" s="139">
        <v>1.1820999999999999</v>
      </c>
      <c r="N33" s="133">
        <v>1.1598999999999999</v>
      </c>
      <c r="O33" s="135">
        <v>1.1771</v>
      </c>
      <c r="P33" s="135">
        <v>1.1943999999999999</v>
      </c>
      <c r="Q33" s="106">
        <v>1.1567000000000001</v>
      </c>
      <c r="R33" s="106">
        <v>1.1738999999999999</v>
      </c>
      <c r="S33" s="106">
        <v>1.1911</v>
      </c>
      <c r="T33" s="101">
        <v>1.1535</v>
      </c>
      <c r="U33" s="137">
        <v>1.1707000000000001</v>
      </c>
      <c r="V33" s="137">
        <v>1.1879</v>
      </c>
      <c r="W33" s="141">
        <v>1.1503000000000001</v>
      </c>
      <c r="X33" s="141">
        <v>1.1675</v>
      </c>
      <c r="Y33" s="139">
        <v>1.1847000000000001</v>
      </c>
      <c r="Z33" s="133">
        <v>1.1626000000000001</v>
      </c>
      <c r="AA33" s="135">
        <v>1.1798</v>
      </c>
      <c r="AB33" s="135">
        <v>1.1970000000000001</v>
      </c>
      <c r="AC33" s="106">
        <v>1.1593</v>
      </c>
      <c r="AD33" s="106">
        <v>1.1766000000000001</v>
      </c>
      <c r="AE33" s="106">
        <v>1.1938</v>
      </c>
      <c r="AF33" s="101">
        <v>1.1560999999999999</v>
      </c>
      <c r="AG33" s="137">
        <v>1.1734</v>
      </c>
      <c r="AH33" s="137">
        <v>1.1906000000000001</v>
      </c>
      <c r="AI33" s="141">
        <v>1.1529</v>
      </c>
      <c r="AJ33" s="141">
        <v>1.1701999999999999</v>
      </c>
      <c r="AK33" s="103">
        <v>1.1874</v>
      </c>
    </row>
    <row r="34" spans="1:37">
      <c r="A34" s="93">
        <v>270</v>
      </c>
      <c r="B34" s="133">
        <v>1.1561999999999999</v>
      </c>
      <c r="C34" s="135">
        <v>1.1733</v>
      </c>
      <c r="D34" s="135">
        <v>1.1903999999999999</v>
      </c>
      <c r="E34" s="106">
        <v>1.153</v>
      </c>
      <c r="F34" s="106">
        <v>1.1400999999999999</v>
      </c>
      <c r="G34" s="106">
        <v>1.1872</v>
      </c>
      <c r="H34" s="101">
        <v>1.1497999999999999</v>
      </c>
      <c r="I34" s="137">
        <v>1.1669</v>
      </c>
      <c r="J34" s="137">
        <v>1.1839999999999999</v>
      </c>
      <c r="K34" s="141">
        <v>1.1466000000000001</v>
      </c>
      <c r="L34" s="141">
        <v>1.1637</v>
      </c>
      <c r="M34" s="139">
        <v>1.1808000000000001</v>
      </c>
      <c r="N34" s="133">
        <v>1.1589</v>
      </c>
      <c r="O34" s="135">
        <v>1.1759999999999999</v>
      </c>
      <c r="P34" s="135">
        <v>1.1931</v>
      </c>
      <c r="Q34" s="106">
        <v>1.1556999999999999</v>
      </c>
      <c r="R34" s="106">
        <v>1.1728000000000001</v>
      </c>
      <c r="S34" s="106">
        <v>1.1899</v>
      </c>
      <c r="T34" s="101">
        <v>1.1525000000000001</v>
      </c>
      <c r="U34" s="137">
        <v>1.1696</v>
      </c>
      <c r="V34" s="137">
        <v>1.1867000000000001</v>
      </c>
      <c r="W34" s="141">
        <v>1.1493</v>
      </c>
      <c r="X34" s="141">
        <v>1.1664000000000001</v>
      </c>
      <c r="Y34" s="139">
        <v>1.1835</v>
      </c>
      <c r="Z34" s="133">
        <v>1.1616</v>
      </c>
      <c r="AA34" s="135">
        <v>1.1787000000000001</v>
      </c>
      <c r="AB34" s="135">
        <v>1.1958</v>
      </c>
      <c r="AC34" s="106">
        <v>1.1584000000000001</v>
      </c>
      <c r="AD34" s="106">
        <v>1.1755</v>
      </c>
      <c r="AE34" s="106">
        <v>1.1926000000000001</v>
      </c>
      <c r="AF34" s="101">
        <v>1.1552</v>
      </c>
      <c r="AG34" s="137">
        <v>1.1722999999999999</v>
      </c>
      <c r="AH34" s="137">
        <v>1.1894</v>
      </c>
      <c r="AI34" s="141">
        <v>1.1519999999999999</v>
      </c>
      <c r="AJ34" s="141">
        <v>1.1691</v>
      </c>
      <c r="AK34" s="103">
        <v>1.1860999999999999</v>
      </c>
    </row>
    <row r="35" spans="1:37">
      <c r="A35" s="93">
        <v>280</v>
      </c>
      <c r="B35" s="133">
        <v>1.1553</v>
      </c>
      <c r="C35" s="135">
        <v>1.1721999999999999</v>
      </c>
      <c r="D35" s="135">
        <v>1.1892</v>
      </c>
      <c r="E35" s="106">
        <v>1.1520999999999999</v>
      </c>
      <c r="F35" s="106">
        <v>1.169</v>
      </c>
      <c r="G35" s="106">
        <v>1.1859999999999999</v>
      </c>
      <c r="H35" s="101">
        <v>1.1489</v>
      </c>
      <c r="I35" s="137">
        <v>1.1657999999999999</v>
      </c>
      <c r="J35" s="137">
        <v>1.1828000000000001</v>
      </c>
      <c r="K35" s="141">
        <v>1.1456</v>
      </c>
      <c r="L35" s="141">
        <v>1.1626000000000001</v>
      </c>
      <c r="M35" s="139">
        <v>1.1796</v>
      </c>
      <c r="N35" s="133">
        <v>1.1579999999999999</v>
      </c>
      <c r="O35" s="135">
        <v>1.1749000000000001</v>
      </c>
      <c r="P35" s="135">
        <v>1.1919</v>
      </c>
      <c r="Q35" s="106">
        <v>1.1547000000000001</v>
      </c>
      <c r="R35" s="106">
        <v>1.1717</v>
      </c>
      <c r="S35" s="106">
        <v>1.1887000000000001</v>
      </c>
      <c r="T35" s="101">
        <v>1.1515</v>
      </c>
      <c r="U35" s="137">
        <v>1.1685000000000001</v>
      </c>
      <c r="V35" s="137">
        <v>1.1854</v>
      </c>
      <c r="W35" s="141">
        <v>1.1483000000000001</v>
      </c>
      <c r="X35" s="141">
        <v>1.1653</v>
      </c>
      <c r="Y35" s="139">
        <v>1.1821999999999999</v>
      </c>
      <c r="Z35" s="133">
        <v>1.1606000000000001</v>
      </c>
      <c r="AA35" s="135">
        <v>1.1776</v>
      </c>
      <c r="AB35" s="135">
        <v>1.1944999999999999</v>
      </c>
      <c r="AC35" s="106">
        <v>1.1574</v>
      </c>
      <c r="AD35" s="106">
        <v>1.1744000000000001</v>
      </c>
      <c r="AE35" s="106">
        <v>1.1913</v>
      </c>
      <c r="AF35" s="101">
        <v>1.1541999999999999</v>
      </c>
      <c r="AG35" s="137">
        <v>1.1712</v>
      </c>
      <c r="AH35" s="137">
        <v>1.1880999999999999</v>
      </c>
      <c r="AI35" s="141">
        <v>1.151</v>
      </c>
      <c r="AJ35" s="141">
        <v>1.1679999999999999</v>
      </c>
      <c r="AK35" s="103">
        <v>1.1849000000000001</v>
      </c>
    </row>
    <row r="36" spans="1:37">
      <c r="A36" s="93">
        <v>290</v>
      </c>
      <c r="B36" s="133">
        <v>1.1544000000000001</v>
      </c>
      <c r="C36" s="135">
        <v>1.1713</v>
      </c>
      <c r="D36" s="135">
        <v>1.1880999999999999</v>
      </c>
      <c r="E36" s="106">
        <v>1.1512</v>
      </c>
      <c r="F36" s="106">
        <v>1.1679999999999999</v>
      </c>
      <c r="G36" s="106">
        <v>1.1849000000000001</v>
      </c>
      <c r="H36" s="101">
        <v>1.1479999999999999</v>
      </c>
      <c r="I36" s="137">
        <v>1.1648000000000001</v>
      </c>
      <c r="J36" s="137">
        <v>1.1817</v>
      </c>
      <c r="K36" s="141">
        <v>1.1448</v>
      </c>
      <c r="L36" s="141">
        <v>1.1616</v>
      </c>
      <c r="M36" s="139">
        <v>1.1785000000000001</v>
      </c>
      <c r="N36" s="133">
        <v>1.1571</v>
      </c>
      <c r="O36" s="135">
        <v>1.1738999999999999</v>
      </c>
      <c r="P36" s="135">
        <v>1.1908000000000001</v>
      </c>
      <c r="Q36" s="106">
        <v>1.1538999999999999</v>
      </c>
      <c r="R36" s="106">
        <v>1.1707000000000001</v>
      </c>
      <c r="S36" s="106">
        <v>1.1875</v>
      </c>
      <c r="T36" s="101">
        <v>1.1507000000000001</v>
      </c>
      <c r="U36" s="137">
        <v>1.1675</v>
      </c>
      <c r="V36" s="137">
        <v>1.1842999999999999</v>
      </c>
      <c r="W36" s="141">
        <v>1.1475</v>
      </c>
      <c r="X36" s="141">
        <v>1.1642999999999999</v>
      </c>
      <c r="Y36" s="139">
        <v>1.1811</v>
      </c>
      <c r="Z36" s="133">
        <v>1.1597999999999999</v>
      </c>
      <c r="AA36" s="135">
        <v>1.1766000000000001</v>
      </c>
      <c r="AB36" s="135">
        <v>1.1934</v>
      </c>
      <c r="AC36" s="106">
        <v>1.1566000000000001</v>
      </c>
      <c r="AD36" s="106">
        <v>1.1734</v>
      </c>
      <c r="AE36" s="106">
        <v>1.1901999999999999</v>
      </c>
      <c r="AF36" s="101">
        <v>1.1534</v>
      </c>
      <c r="AG36" s="137">
        <v>1.1701999999999999</v>
      </c>
      <c r="AH36" s="137">
        <v>1.1870000000000001</v>
      </c>
      <c r="AI36" s="141">
        <v>1.1500999999999999</v>
      </c>
      <c r="AJ36" s="141">
        <v>1.167</v>
      </c>
      <c r="AK36" s="103">
        <v>1.1838</v>
      </c>
    </row>
    <row r="37" spans="1:37">
      <c r="A37" s="93">
        <v>300</v>
      </c>
      <c r="B37" s="133">
        <v>1.1536</v>
      </c>
      <c r="C37" s="135">
        <v>1.1702999999999999</v>
      </c>
      <c r="D37" s="135">
        <v>1.1870000000000001</v>
      </c>
      <c r="E37" s="106">
        <v>1.1504000000000001</v>
      </c>
      <c r="F37" s="106">
        <v>1.1671</v>
      </c>
      <c r="G37" s="106">
        <v>1.1838</v>
      </c>
      <c r="H37" s="101">
        <v>1.1471</v>
      </c>
      <c r="I37" s="137">
        <v>1.1638999999999999</v>
      </c>
      <c r="J37" s="137">
        <v>1.1806000000000001</v>
      </c>
      <c r="K37" s="141">
        <v>1.1438999999999999</v>
      </c>
      <c r="L37" s="141">
        <v>1.1606000000000001</v>
      </c>
      <c r="M37" s="139">
        <v>1.1774</v>
      </c>
      <c r="N37" s="133">
        <v>1.1561999999999999</v>
      </c>
      <c r="O37" s="135">
        <v>1.173</v>
      </c>
      <c r="P37" s="135">
        <v>1.1897</v>
      </c>
      <c r="Q37" s="106">
        <v>1.153</v>
      </c>
      <c r="R37" s="106">
        <v>1.1697</v>
      </c>
      <c r="S37" s="106">
        <v>1.1865000000000001</v>
      </c>
      <c r="T37" s="101">
        <v>1.1497999999999999</v>
      </c>
      <c r="U37" s="137">
        <v>1.1665000000000001</v>
      </c>
      <c r="V37" s="137">
        <v>1.1832</v>
      </c>
      <c r="W37" s="141">
        <v>1.1466000000000001</v>
      </c>
      <c r="X37" s="141">
        <v>1.1533</v>
      </c>
      <c r="Y37" s="139">
        <v>1.18</v>
      </c>
      <c r="Z37" s="133">
        <v>1.1589</v>
      </c>
      <c r="AA37" s="135">
        <v>1.1756</v>
      </c>
      <c r="AB37" s="135">
        <v>1.1922999999999999</v>
      </c>
      <c r="AC37" s="106">
        <v>1.1556999999999999</v>
      </c>
      <c r="AD37" s="106">
        <v>1.1724300000000001</v>
      </c>
      <c r="AE37" s="106">
        <v>1.1891</v>
      </c>
      <c r="AF37" s="101">
        <v>1.1525000000000001</v>
      </c>
      <c r="AG37" s="137">
        <v>1.1692</v>
      </c>
      <c r="AH37" s="137">
        <v>1.1859</v>
      </c>
      <c r="AI37" s="141">
        <v>1.1493</v>
      </c>
      <c r="AJ37" s="141">
        <v>1.66</v>
      </c>
      <c r="AK37" s="103">
        <v>1.1827000000000001</v>
      </c>
    </row>
    <row r="38" spans="1:37">
      <c r="A38" s="93">
        <v>350</v>
      </c>
      <c r="B38" s="133">
        <v>1.1531</v>
      </c>
      <c r="C38" s="135">
        <v>1.1698</v>
      </c>
      <c r="D38" s="135">
        <v>1.1863999999999999</v>
      </c>
      <c r="E38" s="106">
        <v>1.1498999999999999</v>
      </c>
      <c r="F38" s="106">
        <v>1.1666000000000001</v>
      </c>
      <c r="G38" s="106">
        <v>1.1832</v>
      </c>
      <c r="H38" s="101">
        <v>1.1467000000000001</v>
      </c>
      <c r="I38" s="137">
        <v>1.1634</v>
      </c>
      <c r="J38" s="137">
        <v>1.18</v>
      </c>
      <c r="K38" s="141">
        <v>1.1435</v>
      </c>
      <c r="L38" s="141">
        <v>1.1601999999999999</v>
      </c>
      <c r="M38" s="139">
        <v>1.1768000000000001</v>
      </c>
      <c r="N38" s="133">
        <v>1.1557999999999999</v>
      </c>
      <c r="O38" s="135">
        <v>1.1725000000000001</v>
      </c>
      <c r="P38" s="135">
        <v>1.1891</v>
      </c>
      <c r="Q38" s="106">
        <v>1.1526000000000001</v>
      </c>
      <c r="R38" s="106">
        <v>1.1693</v>
      </c>
      <c r="S38" s="106">
        <v>1.1859</v>
      </c>
      <c r="T38" s="101">
        <v>1.1494</v>
      </c>
      <c r="U38" s="137">
        <v>1.1659999999999999</v>
      </c>
      <c r="V38" s="137">
        <v>1.1827000000000001</v>
      </c>
      <c r="W38" s="141">
        <v>1.1462000000000001</v>
      </c>
      <c r="X38" s="141">
        <v>1.1528</v>
      </c>
      <c r="Y38" s="139">
        <v>1.1795</v>
      </c>
      <c r="Z38" s="133">
        <v>1.1585000000000001</v>
      </c>
      <c r="AA38" s="135">
        <v>1.1751</v>
      </c>
      <c r="AB38" s="135">
        <v>1.1918</v>
      </c>
      <c r="AC38" s="106">
        <v>1.1553</v>
      </c>
      <c r="AD38" s="106">
        <v>1.1718999999999999</v>
      </c>
      <c r="AE38" s="106">
        <v>1.1886000000000001</v>
      </c>
      <c r="AF38" s="101">
        <v>1.1520999999999999</v>
      </c>
      <c r="AG38" s="137">
        <v>1.1687000000000001</v>
      </c>
      <c r="AH38" s="137">
        <v>1.1854</v>
      </c>
      <c r="AI38" s="141">
        <v>1.1489</v>
      </c>
      <c r="AJ38" s="141">
        <v>1.655</v>
      </c>
      <c r="AK38" s="103">
        <v>1.1821999999999999</v>
      </c>
    </row>
    <row r="39" spans="1:37">
      <c r="A39" s="93">
        <v>400</v>
      </c>
      <c r="B39" s="133">
        <v>1.1518999999999999</v>
      </c>
      <c r="C39" s="135">
        <v>1.1687000000000001</v>
      </c>
      <c r="D39" s="135">
        <v>1.1855</v>
      </c>
      <c r="E39" s="106">
        <v>1.1483000000000001</v>
      </c>
      <c r="F39" s="106">
        <v>1.1652</v>
      </c>
      <c r="G39" s="106">
        <v>1.1819999999999999</v>
      </c>
      <c r="H39" s="101">
        <v>1.1449</v>
      </c>
      <c r="I39" s="137">
        <v>1.1617</v>
      </c>
      <c r="J39" s="137">
        <v>1.1786000000000001</v>
      </c>
      <c r="K39" s="141">
        <v>1.1414</v>
      </c>
      <c r="L39" s="141">
        <v>1.1581999999999999</v>
      </c>
      <c r="M39" s="139">
        <v>1.175</v>
      </c>
      <c r="N39" s="133">
        <v>1.1547000000000001</v>
      </c>
      <c r="O39" s="135">
        <v>1.1716</v>
      </c>
      <c r="P39" s="135">
        <v>1.1883999999999999</v>
      </c>
      <c r="Q39" s="106">
        <v>1.1513</v>
      </c>
      <c r="R39" s="106">
        <v>1.1681999999999999</v>
      </c>
      <c r="S39" s="106">
        <v>1.1850000000000001</v>
      </c>
      <c r="T39" s="101">
        <v>1.1477999999999999</v>
      </c>
      <c r="U39" s="137">
        <v>1.1646000000000001</v>
      </c>
      <c r="V39" s="137">
        <v>1.1815</v>
      </c>
      <c r="W39" s="141">
        <v>1.1444000000000001</v>
      </c>
      <c r="X39" s="141">
        <v>1.1612</v>
      </c>
      <c r="Y39" s="139">
        <v>1.1779999999999999</v>
      </c>
      <c r="Z39" s="133">
        <v>1.1577</v>
      </c>
      <c r="AA39" s="135">
        <v>1.1746000000000001</v>
      </c>
      <c r="AB39" s="135">
        <v>1.1914</v>
      </c>
      <c r="AC39" s="106">
        <v>1.1541999999999999</v>
      </c>
      <c r="AD39" s="106">
        <v>1.171</v>
      </c>
      <c r="AE39" s="106">
        <v>1.1879</v>
      </c>
      <c r="AF39" s="101">
        <v>1.1508</v>
      </c>
      <c r="AG39" s="137">
        <v>1.1676</v>
      </c>
      <c r="AH39" s="137">
        <v>1.1845000000000001</v>
      </c>
      <c r="AI39" s="141">
        <v>1.1473</v>
      </c>
      <c r="AJ39" s="141">
        <v>1.1640999999999999</v>
      </c>
      <c r="AK39" s="103">
        <v>1.1809000000000001</v>
      </c>
    </row>
    <row r="40" spans="1:37">
      <c r="A40" s="93">
        <v>450</v>
      </c>
      <c r="B40" s="133">
        <v>1.1516</v>
      </c>
      <c r="C40" s="135">
        <v>1.1684000000000001</v>
      </c>
      <c r="D40" s="135">
        <v>1.1852</v>
      </c>
      <c r="E40" s="106">
        <v>1.1480999999999999</v>
      </c>
      <c r="F40" s="106">
        <v>1.1649</v>
      </c>
      <c r="G40" s="106">
        <v>1.1817</v>
      </c>
      <c r="H40" s="101">
        <v>1.1447000000000001</v>
      </c>
      <c r="I40" s="137">
        <v>1.1615</v>
      </c>
      <c r="J40" s="137">
        <v>1.1782999999999999</v>
      </c>
      <c r="K40" s="141">
        <v>1.1412</v>
      </c>
      <c r="L40" s="141">
        <v>1.1579999999999999</v>
      </c>
      <c r="M40" s="139">
        <v>1.1748000000000001</v>
      </c>
      <c r="N40" s="133">
        <v>1.1545000000000001</v>
      </c>
      <c r="O40" s="135">
        <v>1.1713</v>
      </c>
      <c r="P40" s="135">
        <v>1.1880999999999999</v>
      </c>
      <c r="Q40" s="106">
        <v>1.1511</v>
      </c>
      <c r="R40" s="106">
        <v>1.1678999999999999</v>
      </c>
      <c r="S40" s="106">
        <v>1.1847000000000001</v>
      </c>
      <c r="T40" s="101">
        <v>1.1476</v>
      </c>
      <c r="U40" s="137">
        <v>1.1644000000000001</v>
      </c>
      <c r="V40" s="137">
        <v>1.1812</v>
      </c>
      <c r="W40" s="141">
        <v>1.1442000000000001</v>
      </c>
      <c r="X40" s="141">
        <v>1.161</v>
      </c>
      <c r="Y40" s="139">
        <v>1.1778</v>
      </c>
      <c r="Z40" s="133">
        <v>1.1575</v>
      </c>
      <c r="AA40" s="135">
        <v>1.1742999999999999</v>
      </c>
      <c r="AB40" s="135">
        <v>1.1911</v>
      </c>
      <c r="AC40" s="106">
        <v>1.1539999999999999</v>
      </c>
      <c r="AD40" s="106">
        <v>1.1708000000000001</v>
      </c>
      <c r="AE40" s="106">
        <v>1.1876</v>
      </c>
      <c r="AF40" s="101">
        <v>1.1506000000000001</v>
      </c>
      <c r="AG40" s="137">
        <v>1.1674</v>
      </c>
      <c r="AH40" s="137">
        <v>1.1841999999999999</v>
      </c>
      <c r="AI40" s="141">
        <v>1.147</v>
      </c>
      <c r="AJ40" s="141">
        <v>1.1637999999999999</v>
      </c>
      <c r="AK40" s="103">
        <v>1.1806000000000001</v>
      </c>
    </row>
    <row r="41" spans="1:37">
      <c r="A41" s="93">
        <v>500</v>
      </c>
      <c r="B41" s="133">
        <v>1.1505000000000001</v>
      </c>
      <c r="C41" s="135">
        <v>1.1673</v>
      </c>
      <c r="D41" s="135">
        <v>1.1840999999999999</v>
      </c>
      <c r="E41" s="106">
        <v>1.1468</v>
      </c>
      <c r="F41" s="106">
        <v>1.1636</v>
      </c>
      <c r="G41" s="106">
        <v>1.1803999999999999</v>
      </c>
      <c r="H41" s="101">
        <v>1.1432</v>
      </c>
      <c r="I41" s="137">
        <v>1.1599999999999999</v>
      </c>
      <c r="J41" s="137">
        <v>1.1768000000000001</v>
      </c>
      <c r="K41" s="141">
        <v>1.1395999999999999</v>
      </c>
      <c r="L41" s="141">
        <v>1.1563000000000001</v>
      </c>
      <c r="M41" s="139">
        <v>1.1731</v>
      </c>
      <c r="N41" s="133">
        <v>1.1535</v>
      </c>
      <c r="O41" s="135">
        <v>1.1702999999999999</v>
      </c>
      <c r="P41" s="135">
        <v>1.1870000000000001</v>
      </c>
      <c r="Q41" s="106">
        <v>1.1498999999999999</v>
      </c>
      <c r="R41" s="106">
        <v>1.1667000000000001</v>
      </c>
      <c r="S41" s="106">
        <v>1.1835</v>
      </c>
      <c r="T41" s="101">
        <v>1.1463000000000001</v>
      </c>
      <c r="U41" s="137">
        <v>1.1631</v>
      </c>
      <c r="V41" s="137">
        <v>1.1798999999999999</v>
      </c>
      <c r="W41" s="141">
        <v>1.1427</v>
      </c>
      <c r="X41" s="141">
        <v>1.1594</v>
      </c>
      <c r="Y41" s="139">
        <v>1.1761999999999999</v>
      </c>
      <c r="Z41" s="133">
        <v>1.1566000000000001</v>
      </c>
      <c r="AA41" s="135">
        <v>1.1734</v>
      </c>
      <c r="AB41" s="135">
        <v>1.1900999999999999</v>
      </c>
      <c r="AC41" s="106">
        <v>1.1529</v>
      </c>
      <c r="AD41" s="106">
        <v>1.1697</v>
      </c>
      <c r="AE41" s="106">
        <v>1.1865000000000001</v>
      </c>
      <c r="AF41" s="101">
        <v>1.1494</v>
      </c>
      <c r="AG41" s="137">
        <v>1.1661999999999999</v>
      </c>
      <c r="AH41" s="137">
        <v>1.1830000000000001</v>
      </c>
      <c r="AI41" s="141">
        <v>1.1457999999999999</v>
      </c>
      <c r="AJ41" s="141">
        <v>1.1625000000000001</v>
      </c>
      <c r="AK41" s="103">
        <v>1.1793</v>
      </c>
    </row>
    <row r="42" spans="1:37">
      <c r="A42" s="93">
        <v>700</v>
      </c>
      <c r="B42" s="133">
        <v>1.1477999999999999</v>
      </c>
      <c r="C42" s="135">
        <v>1.1640999999999999</v>
      </c>
      <c r="D42" s="135">
        <v>1.1805000000000001</v>
      </c>
      <c r="E42" s="106">
        <v>1.1443000000000001</v>
      </c>
      <c r="F42" s="106">
        <v>1.1606000000000001</v>
      </c>
      <c r="G42" s="106">
        <v>1.177</v>
      </c>
      <c r="H42" s="101">
        <v>1.1406000000000001</v>
      </c>
      <c r="I42" s="137">
        <v>1.157</v>
      </c>
      <c r="J42" s="137">
        <v>1.1733</v>
      </c>
      <c r="K42" s="141">
        <v>1.137</v>
      </c>
      <c r="L42" s="141">
        <v>1.1533</v>
      </c>
      <c r="M42" s="139">
        <v>1.1697</v>
      </c>
      <c r="N42" s="133">
        <v>1.1509</v>
      </c>
      <c r="O42" s="135">
        <v>1.1673</v>
      </c>
      <c r="P42" s="135">
        <v>1.1836</v>
      </c>
      <c r="Q42" s="106">
        <v>1.1473</v>
      </c>
      <c r="R42" s="106">
        <v>1.1636</v>
      </c>
      <c r="S42" s="106">
        <v>1.18</v>
      </c>
      <c r="T42" s="101">
        <v>1.1436999999999999</v>
      </c>
      <c r="U42" s="137">
        <v>1.1600999999999999</v>
      </c>
      <c r="V42" s="137">
        <v>1.1763999999999999</v>
      </c>
      <c r="W42" s="141">
        <v>1.1400999999999999</v>
      </c>
      <c r="X42" s="141">
        <v>1.1564000000000001</v>
      </c>
      <c r="Y42" s="139">
        <v>1.1728000000000001</v>
      </c>
      <c r="Z42" s="133">
        <v>1.1539999999999999</v>
      </c>
      <c r="AA42" s="135">
        <v>1.1704000000000001</v>
      </c>
      <c r="AB42" s="135">
        <v>1.1867000000000001</v>
      </c>
      <c r="AC42" s="106">
        <v>1.1504000000000001</v>
      </c>
      <c r="AD42" s="106">
        <v>1.1667000000000001</v>
      </c>
      <c r="AE42" s="106">
        <v>1.1831</v>
      </c>
      <c r="AF42" s="101">
        <v>1.1467000000000001</v>
      </c>
      <c r="AG42" s="101">
        <v>1.1631</v>
      </c>
      <c r="AH42" s="137">
        <v>1.1791</v>
      </c>
      <c r="AI42" s="141">
        <v>1.1432</v>
      </c>
      <c r="AJ42" s="141">
        <v>1.1595</v>
      </c>
      <c r="AK42" s="103">
        <v>1.1758999999999999</v>
      </c>
    </row>
    <row r="43" spans="1:37" ht="24.75" thickBot="1">
      <c r="A43" s="93" t="s">
        <v>137</v>
      </c>
      <c r="B43" s="134">
        <v>1.1477999999999999</v>
      </c>
      <c r="C43" s="136">
        <v>1.1640999999999999</v>
      </c>
      <c r="D43" s="136">
        <v>1.1805000000000001</v>
      </c>
      <c r="E43" s="113">
        <v>1.1443000000000001</v>
      </c>
      <c r="F43" s="113">
        <v>1.1606000000000001</v>
      </c>
      <c r="G43" s="113">
        <v>1.177</v>
      </c>
      <c r="H43" s="102">
        <v>1.1406000000000001</v>
      </c>
      <c r="I43" s="138">
        <v>1.157</v>
      </c>
      <c r="J43" s="138">
        <v>1.1733</v>
      </c>
      <c r="K43" s="142">
        <v>1.137</v>
      </c>
      <c r="L43" s="142">
        <v>1.1533</v>
      </c>
      <c r="M43" s="140">
        <v>1.1697</v>
      </c>
      <c r="N43" s="134">
        <v>1.1509</v>
      </c>
      <c r="O43" s="136">
        <v>1.1673</v>
      </c>
      <c r="P43" s="136">
        <v>1.1836</v>
      </c>
      <c r="Q43" s="113">
        <v>1.143</v>
      </c>
      <c r="R43" s="113">
        <v>1.1636</v>
      </c>
      <c r="S43" s="113">
        <v>1.18</v>
      </c>
      <c r="T43" s="138">
        <v>1.1436999999999999</v>
      </c>
      <c r="U43" s="138">
        <v>1.1600999999999999</v>
      </c>
      <c r="V43" s="138">
        <v>1.1763999999999999</v>
      </c>
      <c r="W43" s="142">
        <v>1.1400999999999999</v>
      </c>
      <c r="X43" s="142">
        <v>1.1564000000000001</v>
      </c>
      <c r="Y43" s="140">
        <v>1.1728000000000001</v>
      </c>
      <c r="Z43" s="134">
        <v>1.1539999999999999</v>
      </c>
      <c r="AA43" s="136">
        <v>1.1704000000000001</v>
      </c>
      <c r="AB43" s="136">
        <v>1.1867000000000001</v>
      </c>
      <c r="AC43" s="113">
        <v>1.504</v>
      </c>
      <c r="AD43" s="113">
        <v>1.1667000000000001</v>
      </c>
      <c r="AE43" s="113">
        <v>1.1831</v>
      </c>
      <c r="AF43" s="102">
        <v>1.1467000000000001</v>
      </c>
      <c r="AG43" s="102">
        <v>1.1631</v>
      </c>
      <c r="AH43" s="138">
        <v>1.1794</v>
      </c>
      <c r="AI43" s="142">
        <v>1.1432</v>
      </c>
      <c r="AJ43" s="142">
        <v>1.1595</v>
      </c>
      <c r="AK43" s="114">
        <v>1.1758999999999999</v>
      </c>
    </row>
    <row r="44" spans="1:37" ht="25.5" thickTop="1" thickBot="1">
      <c r="C44" s="91"/>
      <c r="O44" s="91"/>
      <c r="AA44" s="91"/>
      <c r="AK44" s="18" t="s">
        <v>9</v>
      </c>
    </row>
    <row r="45" spans="1:37">
      <c r="A45" s="153" t="s">
        <v>146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5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</row>
    <row r="46" spans="1:37">
      <c r="A46" s="156" t="s">
        <v>147</v>
      </c>
      <c r="B46" s="157"/>
      <c r="C46" s="158" t="s">
        <v>148</v>
      </c>
      <c r="D46" s="157"/>
      <c r="E46" s="157"/>
      <c r="F46" s="157"/>
      <c r="G46" s="157"/>
      <c r="H46" s="157"/>
      <c r="I46" s="157"/>
      <c r="J46" s="157"/>
      <c r="K46" s="157"/>
      <c r="L46" s="159"/>
      <c r="N46" s="171"/>
      <c r="O46" s="172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2"/>
      <c r="AB46" s="171"/>
      <c r="AC46" s="171"/>
      <c r="AD46" s="171"/>
      <c r="AE46" s="171"/>
      <c r="AF46" s="171"/>
      <c r="AG46" s="171"/>
      <c r="AH46" s="171"/>
      <c r="AI46" s="171"/>
      <c r="AJ46" s="171"/>
    </row>
    <row r="47" spans="1:37" ht="24.75" thickBot="1">
      <c r="A47" s="160" t="s">
        <v>149</v>
      </c>
      <c r="B47" s="161"/>
      <c r="C47" s="162" t="s">
        <v>150</v>
      </c>
      <c r="D47" s="161"/>
      <c r="E47" s="161"/>
      <c r="F47" s="161"/>
      <c r="G47" s="161"/>
      <c r="H47" s="161"/>
      <c r="I47" s="161"/>
      <c r="J47" s="161"/>
      <c r="K47" s="161"/>
      <c r="L47" s="163"/>
      <c r="N47" s="171"/>
      <c r="O47" s="172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2"/>
      <c r="AB47" s="171"/>
      <c r="AC47" s="171"/>
      <c r="AD47" s="171"/>
      <c r="AE47" s="171"/>
      <c r="AF47" s="171"/>
      <c r="AG47" s="171"/>
      <c r="AH47" s="171"/>
      <c r="AI47" s="171"/>
      <c r="AJ47" s="171"/>
    </row>
  </sheetData>
  <mergeCells count="18">
    <mergeCell ref="Z2:AI2"/>
    <mergeCell ref="Z3:AI3"/>
    <mergeCell ref="Z4:AB4"/>
    <mergeCell ref="AC4:AE4"/>
    <mergeCell ref="AF4:AH4"/>
    <mergeCell ref="AI4:AK4"/>
    <mergeCell ref="B3:K3"/>
    <mergeCell ref="N2:W2"/>
    <mergeCell ref="N3:W3"/>
    <mergeCell ref="E4:G4"/>
    <mergeCell ref="B4:D4"/>
    <mergeCell ref="H4:J4"/>
    <mergeCell ref="K4:M4"/>
    <mergeCell ref="B2:K2"/>
    <mergeCell ref="N4:P4"/>
    <mergeCell ref="Q4:S4"/>
    <mergeCell ref="T4:V4"/>
    <mergeCell ref="W4:Y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46"/>
  <sheetViews>
    <sheetView workbookViewId="0">
      <selection activeCell="E9" sqref="E9"/>
    </sheetView>
  </sheetViews>
  <sheetFormatPr defaultRowHeight="24"/>
  <cols>
    <col min="1" max="1" width="13.85546875" style="18" customWidth="1"/>
    <col min="2" max="4" width="9.140625" style="18"/>
    <col min="5" max="5" width="11.85546875" style="18" bestFit="1" customWidth="1"/>
    <col min="6" max="6" width="11.85546875" bestFit="1" customWidth="1"/>
    <col min="11" max="12" width="10.7109375" bestFit="1" customWidth="1"/>
  </cols>
  <sheetData>
    <row r="1" spans="1:17" ht="22.5" thickBot="1">
      <c r="A1" s="109">
        <v>1</v>
      </c>
      <c r="B1" s="109">
        <v>2</v>
      </c>
      <c r="C1" s="109">
        <v>3</v>
      </c>
      <c r="D1" s="109">
        <v>4</v>
      </c>
      <c r="E1" s="109">
        <v>5</v>
      </c>
      <c r="F1" s="109">
        <v>6</v>
      </c>
      <c r="G1" s="109">
        <v>7</v>
      </c>
      <c r="H1" s="109">
        <v>8</v>
      </c>
      <c r="I1" s="109">
        <v>9</v>
      </c>
      <c r="J1" s="109">
        <v>10</v>
      </c>
      <c r="K1" s="109">
        <v>11</v>
      </c>
      <c r="L1" s="109">
        <v>12</v>
      </c>
      <c r="M1" s="109">
        <v>13</v>
      </c>
      <c r="N1" s="109">
        <v>14</v>
      </c>
      <c r="O1" s="109">
        <v>15</v>
      </c>
      <c r="P1" s="109">
        <v>16</v>
      </c>
      <c r="Q1" s="109">
        <v>17</v>
      </c>
    </row>
    <row r="2" spans="1:17" ht="30.75" thickTop="1" thickBot="1">
      <c r="A2" s="98" t="s">
        <v>116</v>
      </c>
      <c r="B2" s="667">
        <v>0</v>
      </c>
      <c r="C2" s="668"/>
      <c r="D2" s="668"/>
      <c r="E2" s="676"/>
      <c r="F2" s="659">
        <v>0.05</v>
      </c>
      <c r="G2" s="660"/>
      <c r="H2" s="660"/>
      <c r="I2" s="661"/>
      <c r="J2" s="659">
        <v>0.1</v>
      </c>
      <c r="K2" s="660"/>
      <c r="L2" s="660"/>
      <c r="M2" s="661"/>
      <c r="N2" s="659"/>
      <c r="O2" s="660"/>
      <c r="P2" s="660"/>
      <c r="Q2" s="661"/>
    </row>
    <row r="3" spans="1:17" ht="25.5" thickTop="1" thickBot="1">
      <c r="A3" s="91"/>
      <c r="B3" s="662" t="s">
        <v>46</v>
      </c>
      <c r="C3" s="663"/>
      <c r="D3" s="663"/>
      <c r="E3" s="664"/>
      <c r="F3" s="662" t="s">
        <v>46</v>
      </c>
      <c r="G3" s="663"/>
      <c r="H3" s="663"/>
      <c r="I3" s="664"/>
      <c r="J3" s="662" t="s">
        <v>46</v>
      </c>
      <c r="K3" s="663"/>
      <c r="L3" s="663"/>
      <c r="M3" s="664"/>
      <c r="N3" s="662" t="s">
        <v>46</v>
      </c>
      <c r="O3" s="663"/>
      <c r="P3" s="663"/>
      <c r="Q3" s="664"/>
    </row>
    <row r="4" spans="1:17" ht="24.75" thickTop="1">
      <c r="A4" s="92" t="s">
        <v>47</v>
      </c>
      <c r="B4" s="107">
        <v>0</v>
      </c>
      <c r="C4" s="105">
        <v>0.05</v>
      </c>
      <c r="D4" s="96">
        <v>0.1</v>
      </c>
      <c r="E4" s="97">
        <v>0.15</v>
      </c>
      <c r="F4" s="95">
        <v>0</v>
      </c>
      <c r="G4" s="96">
        <v>0.05</v>
      </c>
      <c r="H4" s="96">
        <v>0.1</v>
      </c>
      <c r="I4" s="97">
        <v>0.15</v>
      </c>
      <c r="J4" s="95">
        <v>0</v>
      </c>
      <c r="K4" s="96">
        <v>0.05</v>
      </c>
      <c r="L4" s="96">
        <v>0.1</v>
      </c>
      <c r="M4" s="97">
        <v>0.15</v>
      </c>
      <c r="N4" s="95">
        <v>0</v>
      </c>
      <c r="O4" s="96">
        <v>0.05</v>
      </c>
      <c r="P4" s="96">
        <v>0.1</v>
      </c>
      <c r="Q4" s="97">
        <v>0.15</v>
      </c>
    </row>
    <row r="5" spans="1:17">
      <c r="A5" s="93">
        <v>0</v>
      </c>
      <c r="B5" s="108">
        <v>1.2782</v>
      </c>
      <c r="C5" s="106">
        <v>1.2771999999999999</v>
      </c>
      <c r="D5" s="101">
        <v>1.2761</v>
      </c>
      <c r="E5" s="103">
        <v>1.2749999999999999</v>
      </c>
      <c r="F5" s="99">
        <v>1.2787999999999999</v>
      </c>
      <c r="G5" s="100">
        <v>1.2777000000000001</v>
      </c>
      <c r="H5" s="101">
        <v>1.2766</v>
      </c>
      <c r="I5" s="103">
        <v>1.2755000000000001</v>
      </c>
      <c r="J5" s="99">
        <v>1.2793000000000001</v>
      </c>
      <c r="K5" s="100">
        <v>1.2782</v>
      </c>
      <c r="L5" s="101">
        <v>1.2771999999999999</v>
      </c>
      <c r="M5" s="103">
        <v>1.2790999999999999</v>
      </c>
      <c r="N5" s="99"/>
      <c r="O5" s="100"/>
      <c r="P5" s="101"/>
      <c r="Q5" s="103"/>
    </row>
    <row r="6" spans="1:17">
      <c r="A6" s="93">
        <v>5</v>
      </c>
      <c r="B6" s="108">
        <v>1.2782</v>
      </c>
      <c r="C6" s="106">
        <v>1.2771999999999999</v>
      </c>
      <c r="D6" s="101">
        <v>1.2761</v>
      </c>
      <c r="E6" s="103">
        <v>1.2749999999999999</v>
      </c>
      <c r="F6" s="99">
        <v>1.2787999999999999</v>
      </c>
      <c r="G6" s="100">
        <v>1.2777000000000001</v>
      </c>
      <c r="H6" s="101">
        <v>1.2766</v>
      </c>
      <c r="I6" s="103">
        <v>1.2755000000000001</v>
      </c>
      <c r="J6" s="99">
        <v>1.2793000000000001</v>
      </c>
      <c r="K6" s="100">
        <v>1.2782</v>
      </c>
      <c r="L6" s="101">
        <v>1.2771999999999999</v>
      </c>
      <c r="M6" s="103">
        <v>1.2790999999999999</v>
      </c>
      <c r="N6" s="99"/>
      <c r="O6" s="100"/>
      <c r="P6" s="101"/>
      <c r="Q6" s="103"/>
    </row>
    <row r="7" spans="1:17">
      <c r="A7" s="93">
        <v>10</v>
      </c>
      <c r="B7" s="108">
        <v>1.2445999999999999</v>
      </c>
      <c r="C7" s="106">
        <v>1.12432</v>
      </c>
      <c r="D7" s="101">
        <v>1.2419</v>
      </c>
      <c r="E7" s="103">
        <v>1.2405999999999999</v>
      </c>
      <c r="F7" s="99">
        <v>1.2454000000000001</v>
      </c>
      <c r="G7" s="100">
        <v>1.2441</v>
      </c>
      <c r="H7" s="101">
        <v>1.2426999999999999</v>
      </c>
      <c r="I7" s="103">
        <v>1.2414000000000001</v>
      </c>
      <c r="J7" s="99">
        <v>1.2462</v>
      </c>
      <c r="K7" s="100">
        <v>1.2447999999999999</v>
      </c>
      <c r="L7" s="101">
        <v>1.2436</v>
      </c>
      <c r="M7" s="103">
        <v>1.2422</v>
      </c>
      <c r="N7" s="99"/>
      <c r="O7" s="100"/>
      <c r="P7" s="101"/>
      <c r="Q7" s="103"/>
    </row>
    <row r="8" spans="1:17">
      <c r="A8" s="93">
        <v>15</v>
      </c>
      <c r="B8" s="108">
        <v>1.2375</v>
      </c>
      <c r="C8" s="106">
        <v>1.2359</v>
      </c>
      <c r="D8" s="101">
        <v>1.2342</v>
      </c>
      <c r="E8" s="103">
        <v>1.2325999999999999</v>
      </c>
      <c r="F8" s="99">
        <v>1.2384999999999999</v>
      </c>
      <c r="G8" s="100">
        <v>1.2369000000000001</v>
      </c>
      <c r="H8" s="101">
        <v>1.2353000000000001</v>
      </c>
      <c r="I8" s="103">
        <v>1.2337</v>
      </c>
      <c r="J8" s="99">
        <v>1.2396</v>
      </c>
      <c r="K8" s="100">
        <v>1.238</v>
      </c>
      <c r="L8" s="101">
        <v>1.2363999999999999</v>
      </c>
      <c r="M8" s="103">
        <v>1.2347999999999999</v>
      </c>
      <c r="N8" s="99"/>
      <c r="O8" s="100"/>
      <c r="P8" s="101"/>
      <c r="Q8" s="103"/>
    </row>
    <row r="9" spans="1:17">
      <c r="A9" s="93">
        <v>20</v>
      </c>
      <c r="B9" s="108">
        <v>1.2303999999999999</v>
      </c>
      <c r="C9" s="106">
        <v>1.2285999999999999</v>
      </c>
      <c r="D9" s="101">
        <v>1.2265999999999999</v>
      </c>
      <c r="E9" s="103">
        <v>1.2248000000000001</v>
      </c>
      <c r="F9" s="99">
        <v>1.2318</v>
      </c>
      <c r="G9" s="100">
        <v>1.2299</v>
      </c>
      <c r="H9" s="101">
        <v>1.228</v>
      </c>
      <c r="I9" s="103">
        <v>1.2261</v>
      </c>
      <c r="J9" s="99">
        <v>1.2331000000000001</v>
      </c>
      <c r="K9" s="100">
        <v>1.2312000000000001</v>
      </c>
      <c r="L9" s="101">
        <v>1.2292000000000001</v>
      </c>
      <c r="M9" s="103">
        <v>1.2275</v>
      </c>
      <c r="N9" s="99"/>
      <c r="O9" s="100"/>
      <c r="P9" s="101"/>
      <c r="Q9" s="103"/>
    </row>
    <row r="10" spans="1:17">
      <c r="A10" s="93">
        <v>25</v>
      </c>
      <c r="B10" s="108">
        <v>1.2144999999999999</v>
      </c>
      <c r="C10" s="106">
        <v>1.2124999999999999</v>
      </c>
      <c r="D10" s="101">
        <v>1.2107000000000001</v>
      </c>
      <c r="E10" s="103">
        <v>1.2088000000000001</v>
      </c>
      <c r="F10" s="99">
        <v>1.2157</v>
      </c>
      <c r="G10" s="100">
        <v>1.2139</v>
      </c>
      <c r="H10" s="101">
        <v>1.212</v>
      </c>
      <c r="I10" s="103">
        <v>1.2101999999999999</v>
      </c>
      <c r="J10" s="99">
        <v>1.2171000000000001</v>
      </c>
      <c r="K10" s="100">
        <v>1.2152000000000001</v>
      </c>
      <c r="L10" s="101">
        <v>1.2134</v>
      </c>
      <c r="M10" s="103">
        <v>1.2115</v>
      </c>
      <c r="N10" s="99"/>
      <c r="O10" s="100"/>
      <c r="P10" s="101"/>
      <c r="Q10" s="103"/>
    </row>
    <row r="11" spans="1:17">
      <c r="A11" s="93">
        <v>30</v>
      </c>
      <c r="B11" s="108">
        <v>1.2133</v>
      </c>
      <c r="C11" s="106">
        <v>1.2110000000000001</v>
      </c>
      <c r="D11" s="101">
        <v>1.2088000000000001</v>
      </c>
      <c r="E11" s="103">
        <v>1.2063999999999999</v>
      </c>
      <c r="F11" s="99">
        <v>1.2150000000000001</v>
      </c>
      <c r="G11" s="100" t="s">
        <v>136</v>
      </c>
      <c r="H11" s="101">
        <v>1.2104999999999999</v>
      </c>
      <c r="I11" s="103">
        <v>1.2081999999999999</v>
      </c>
      <c r="J11" s="99">
        <v>1.2168000000000001</v>
      </c>
      <c r="K11" s="100">
        <v>1.2144999999999999</v>
      </c>
      <c r="L11" s="101">
        <v>1.2121999999999999</v>
      </c>
      <c r="M11" s="103">
        <v>1.21</v>
      </c>
      <c r="N11" s="99"/>
      <c r="O11" s="100"/>
      <c r="P11" s="101"/>
      <c r="Q11" s="103"/>
    </row>
    <row r="12" spans="1:17">
      <c r="A12" s="93">
        <v>35</v>
      </c>
      <c r="B12" s="108">
        <v>1.2079</v>
      </c>
      <c r="C12" s="106">
        <v>1.2055</v>
      </c>
      <c r="D12" s="101">
        <v>1.2031000000000001</v>
      </c>
      <c r="E12" s="103">
        <v>1.2005999999999999</v>
      </c>
      <c r="F12" s="99">
        <v>1.2097</v>
      </c>
      <c r="G12" s="100">
        <v>1.2074</v>
      </c>
      <c r="H12" s="101">
        <v>1.2049000000000001</v>
      </c>
      <c r="I12" s="103">
        <v>1.2025999999999999</v>
      </c>
      <c r="J12" s="99">
        <v>1.2117</v>
      </c>
      <c r="K12" s="100">
        <v>1.2092000000000001</v>
      </c>
      <c r="L12" s="101">
        <v>1.2069000000000001</v>
      </c>
      <c r="M12" s="103">
        <v>1.2043999999999999</v>
      </c>
      <c r="N12" s="99"/>
      <c r="O12" s="100"/>
      <c r="P12" s="101"/>
      <c r="Q12" s="103"/>
    </row>
    <row r="13" spans="1:17">
      <c r="A13" s="93">
        <v>40</v>
      </c>
      <c r="B13" s="108">
        <v>1.2000999999999999</v>
      </c>
      <c r="C13" s="106">
        <v>1.1977</v>
      </c>
      <c r="D13" s="101">
        <v>1.1953</v>
      </c>
      <c r="E13" s="103">
        <v>1.1928000000000001</v>
      </c>
      <c r="F13" s="99">
        <v>1.2019</v>
      </c>
      <c r="G13" s="100">
        <v>1.1996</v>
      </c>
      <c r="H13" s="101">
        <v>1.1971000000000001</v>
      </c>
      <c r="I13" s="103">
        <v>1.1948000000000001</v>
      </c>
      <c r="J13" s="99">
        <v>1.2039</v>
      </c>
      <c r="K13" s="100">
        <v>1.2014</v>
      </c>
      <c r="L13" s="101">
        <v>1.1990000000000001</v>
      </c>
      <c r="M13" s="103">
        <v>1.1966000000000001</v>
      </c>
      <c r="N13" s="99"/>
      <c r="O13" s="100"/>
      <c r="P13" s="101"/>
      <c r="Q13" s="103"/>
    </row>
    <row r="14" spans="1:17">
      <c r="A14" s="93">
        <v>45</v>
      </c>
      <c r="B14" s="108">
        <v>1.1887000000000001</v>
      </c>
      <c r="C14" s="106">
        <v>1.1862999999999999</v>
      </c>
      <c r="D14" s="101">
        <v>1.1838</v>
      </c>
      <c r="E14" s="103">
        <v>1.1815</v>
      </c>
      <c r="F14" s="99">
        <v>1.1906000000000001</v>
      </c>
      <c r="G14" s="100">
        <v>1.1880999999999999</v>
      </c>
      <c r="H14" s="101">
        <v>1.1858</v>
      </c>
      <c r="I14" s="103">
        <v>1.1833</v>
      </c>
      <c r="J14" s="99">
        <v>1.1923999999999999</v>
      </c>
      <c r="K14" s="100">
        <v>1.1900999999999999</v>
      </c>
      <c r="L14" s="101">
        <v>1.1876</v>
      </c>
      <c r="M14" s="103">
        <v>1.1852</v>
      </c>
      <c r="N14" s="99"/>
      <c r="O14" s="100"/>
      <c r="P14" s="101"/>
      <c r="Q14" s="103"/>
    </row>
    <row r="15" spans="1:17">
      <c r="A15" s="93">
        <v>50</v>
      </c>
      <c r="B15" s="108">
        <v>1.1838</v>
      </c>
      <c r="C15" s="106">
        <v>1.1814</v>
      </c>
      <c r="D15" s="101">
        <v>1.179</v>
      </c>
      <c r="E15" s="103">
        <v>1.1766000000000001</v>
      </c>
      <c r="F15" s="99">
        <v>1.1857</v>
      </c>
      <c r="G15" s="100">
        <v>1.1833</v>
      </c>
      <c r="H15" s="101">
        <v>1.1809000000000001</v>
      </c>
      <c r="I15" s="103">
        <v>1.1785000000000001</v>
      </c>
      <c r="J15" s="99">
        <v>1.1876</v>
      </c>
      <c r="K15" s="100">
        <v>1.1851</v>
      </c>
      <c r="L15" s="101">
        <v>1.1828000000000001</v>
      </c>
      <c r="M15" s="103">
        <v>1.1802999999999999</v>
      </c>
      <c r="N15" s="99"/>
      <c r="O15" s="100"/>
      <c r="P15" s="101"/>
      <c r="Q15" s="103"/>
    </row>
    <row r="16" spans="1:17">
      <c r="A16" s="93">
        <v>55</v>
      </c>
      <c r="B16" s="108">
        <v>1.1826000000000001</v>
      </c>
      <c r="C16" s="106">
        <v>1.1800999999999999</v>
      </c>
      <c r="D16" s="101">
        <v>1.1777</v>
      </c>
      <c r="E16" s="103">
        <v>1.1753</v>
      </c>
      <c r="F16" s="99">
        <v>1.1843999999999999</v>
      </c>
      <c r="G16" s="100">
        <v>1.1819999999999999</v>
      </c>
      <c r="H16" s="101">
        <v>1.1796</v>
      </c>
      <c r="I16" s="103">
        <v>1.1772</v>
      </c>
      <c r="J16" s="99">
        <v>1.1862999999999999</v>
      </c>
      <c r="K16" s="100">
        <v>1.1838</v>
      </c>
      <c r="L16" s="101">
        <v>1.1815</v>
      </c>
      <c r="M16" s="103">
        <v>1.179</v>
      </c>
      <c r="N16" s="99"/>
      <c r="O16" s="100"/>
      <c r="P16" s="101"/>
      <c r="Q16" s="103"/>
    </row>
    <row r="17" spans="1:17">
      <c r="A17" s="93">
        <v>60</v>
      </c>
      <c r="B17" s="108">
        <v>1.181</v>
      </c>
      <c r="C17" s="106">
        <v>1.1785000000000001</v>
      </c>
      <c r="D17" s="101">
        <v>1.1760999999999999</v>
      </c>
      <c r="E17" s="103">
        <v>1.1737</v>
      </c>
      <c r="F17" s="99">
        <v>1.1828000000000001</v>
      </c>
      <c r="G17" s="100">
        <v>1.1803999999999999</v>
      </c>
      <c r="H17" s="101">
        <v>1.1779999999999999</v>
      </c>
      <c r="I17" s="103">
        <v>1.1756</v>
      </c>
      <c r="J17" s="99">
        <v>1.1847000000000001</v>
      </c>
      <c r="K17" s="100">
        <v>1.1821999999999999</v>
      </c>
      <c r="L17" s="101">
        <v>1.1798999999999999</v>
      </c>
      <c r="M17" s="103">
        <v>1.1774</v>
      </c>
      <c r="N17" s="99"/>
      <c r="O17" s="100"/>
      <c r="P17" s="101"/>
      <c r="Q17" s="103"/>
    </row>
    <row r="18" spans="1:17">
      <c r="A18" s="93">
        <v>65</v>
      </c>
      <c r="B18" s="108">
        <v>1.1776</v>
      </c>
      <c r="C18" s="106">
        <v>1.175</v>
      </c>
      <c r="D18" s="101">
        <v>1.1722999999999999</v>
      </c>
      <c r="E18" s="103">
        <v>1.1696</v>
      </c>
      <c r="F18" s="99">
        <v>1.1798</v>
      </c>
      <c r="G18" s="100">
        <v>1.1771</v>
      </c>
      <c r="H18" s="101">
        <v>1.1744000000000001</v>
      </c>
      <c r="I18" s="103">
        <v>1.1718</v>
      </c>
      <c r="J18" s="99">
        <v>1.1819</v>
      </c>
      <c r="K18" s="100">
        <v>1.1792</v>
      </c>
      <c r="L18" s="101">
        <v>1.1766000000000001</v>
      </c>
      <c r="M18" s="103">
        <v>1.1738999999999999</v>
      </c>
      <c r="N18" s="99"/>
      <c r="O18" s="100"/>
      <c r="P18" s="101"/>
      <c r="Q18" s="103"/>
    </row>
    <row r="19" spans="1:17">
      <c r="A19" s="93">
        <v>70</v>
      </c>
      <c r="B19" s="108">
        <v>1.1767000000000001</v>
      </c>
      <c r="C19" s="106">
        <v>1.1738999999999999</v>
      </c>
      <c r="D19" s="101">
        <v>1.1711</v>
      </c>
      <c r="E19" s="103">
        <v>1.1682999999999999</v>
      </c>
      <c r="F19" s="99">
        <v>1.179</v>
      </c>
      <c r="G19" s="100">
        <v>1.1760999999999999</v>
      </c>
      <c r="H19" s="101">
        <v>1.1734</v>
      </c>
      <c r="I19" s="103">
        <v>1.1706000000000001</v>
      </c>
      <c r="J19" s="99">
        <v>1.1813</v>
      </c>
      <c r="K19" s="100">
        <v>1.1785000000000001</v>
      </c>
      <c r="L19" s="101">
        <v>1.1756</v>
      </c>
      <c r="M19" s="103">
        <v>1.1728000000000001</v>
      </c>
      <c r="N19" s="99"/>
      <c r="O19" s="100"/>
      <c r="P19" s="101"/>
      <c r="Q19" s="103"/>
    </row>
    <row r="20" spans="1:17">
      <c r="A20" s="93">
        <v>75</v>
      </c>
      <c r="B20" s="108">
        <v>1.1741999999999999</v>
      </c>
      <c r="C20" s="106">
        <v>1.1714</v>
      </c>
      <c r="D20" s="101">
        <v>1.1685000000000001</v>
      </c>
      <c r="E20" s="103">
        <v>1.1657999999999999</v>
      </c>
      <c r="F20" s="99">
        <v>1.1765000000000001</v>
      </c>
      <c r="G20" s="100">
        <v>1.1737</v>
      </c>
      <c r="H20" s="101">
        <v>1.1709000000000001</v>
      </c>
      <c r="I20" s="103">
        <v>1.1679999999999999</v>
      </c>
      <c r="J20" s="99">
        <v>1.1787000000000001</v>
      </c>
      <c r="K20" s="100">
        <v>1.1758999999999999</v>
      </c>
      <c r="L20" s="101">
        <v>1.1731</v>
      </c>
      <c r="M20" s="103">
        <v>1.1704000000000001</v>
      </c>
      <c r="N20" s="99"/>
      <c r="O20" s="100"/>
      <c r="P20" s="101"/>
      <c r="Q20" s="103"/>
    </row>
    <row r="21" spans="1:17">
      <c r="A21" s="93">
        <v>80</v>
      </c>
      <c r="B21" s="108">
        <v>1.1718</v>
      </c>
      <c r="C21" s="106">
        <v>1.169</v>
      </c>
      <c r="D21" s="101">
        <v>1.1660999999999999</v>
      </c>
      <c r="E21" s="103">
        <v>1.1633</v>
      </c>
      <c r="F21" s="99">
        <v>1.1739999999999999</v>
      </c>
      <c r="G21" s="100">
        <v>1.1712</v>
      </c>
      <c r="H21" s="101">
        <v>1.1684000000000001</v>
      </c>
      <c r="I21" s="103">
        <v>1.1656</v>
      </c>
      <c r="J21" s="99">
        <v>1.7629999999999999</v>
      </c>
      <c r="K21" s="100">
        <v>1.1735</v>
      </c>
      <c r="L21" s="101">
        <v>1.1707000000000001</v>
      </c>
      <c r="M21" s="103">
        <v>1.1678999999999999</v>
      </c>
      <c r="N21" s="99"/>
      <c r="O21" s="100"/>
      <c r="P21" s="101"/>
      <c r="Q21" s="103"/>
    </row>
    <row r="22" spans="1:17">
      <c r="A22" s="93">
        <v>85</v>
      </c>
      <c r="B22" s="108">
        <v>1.1696</v>
      </c>
      <c r="C22" s="106">
        <v>1.1667000000000001</v>
      </c>
      <c r="D22" s="101">
        <v>1.1638999999999999</v>
      </c>
      <c r="E22" s="103">
        <v>1.1612</v>
      </c>
      <c r="F22" s="99">
        <v>1.1718999999999999</v>
      </c>
      <c r="G22" s="100">
        <v>1.1691</v>
      </c>
      <c r="H22" s="101">
        <v>1.1661999999999999</v>
      </c>
      <c r="I22" s="103">
        <v>1.1634</v>
      </c>
      <c r="J22" s="99">
        <v>1.1740999999999999</v>
      </c>
      <c r="K22" s="100">
        <v>1.1713</v>
      </c>
      <c r="L22" s="101">
        <v>1.1685000000000001</v>
      </c>
      <c r="M22" s="103">
        <v>1.1657</v>
      </c>
      <c r="N22" s="99"/>
      <c r="O22" s="100"/>
      <c r="P22" s="101"/>
      <c r="Q22" s="103"/>
    </row>
    <row r="23" spans="1:17">
      <c r="A23" s="93">
        <v>90</v>
      </c>
      <c r="B23" s="108">
        <v>1.1687000000000001</v>
      </c>
      <c r="C23" s="106">
        <v>1.657</v>
      </c>
      <c r="D23" s="101">
        <v>1.1628000000000001</v>
      </c>
      <c r="E23" s="103">
        <v>1.1597999999999999</v>
      </c>
      <c r="F23" s="99">
        <v>1.171</v>
      </c>
      <c r="G23" s="100">
        <v>1.1680999999999999</v>
      </c>
      <c r="H23" s="101">
        <v>1.1654</v>
      </c>
      <c r="I23" s="103">
        <v>1.1621999999999999</v>
      </c>
      <c r="J23" s="99">
        <v>1.1735</v>
      </c>
      <c r="K23" s="100">
        <v>1.1705000000000001</v>
      </c>
      <c r="L23" s="101">
        <v>1.1676</v>
      </c>
      <c r="M23" s="103">
        <v>1.1646000000000001</v>
      </c>
      <c r="N23" s="99"/>
      <c r="O23" s="100"/>
      <c r="P23" s="101"/>
      <c r="Q23" s="103"/>
    </row>
    <row r="24" spans="1:17">
      <c r="A24" s="93">
        <v>95</v>
      </c>
      <c r="B24" s="108">
        <v>1.1677</v>
      </c>
      <c r="C24" s="106">
        <v>1.1648000000000001</v>
      </c>
      <c r="D24" s="101">
        <v>1.1617999999999999</v>
      </c>
      <c r="E24" s="103">
        <v>1.1589</v>
      </c>
      <c r="F24" s="99">
        <v>1.1701999999999999</v>
      </c>
      <c r="G24" s="100">
        <v>1.1672</v>
      </c>
      <c r="H24" s="101">
        <v>1.1642999999999999</v>
      </c>
      <c r="I24" s="103">
        <v>1.1613</v>
      </c>
      <c r="J24" s="99">
        <v>1.1725000000000001</v>
      </c>
      <c r="K24" s="100">
        <v>1.1696</v>
      </c>
      <c r="L24" s="101">
        <v>1.1666000000000001</v>
      </c>
      <c r="M24" s="103">
        <v>1.1637</v>
      </c>
      <c r="N24" s="99"/>
      <c r="O24" s="100"/>
      <c r="P24" s="101"/>
      <c r="Q24" s="103"/>
    </row>
    <row r="25" spans="1:17">
      <c r="A25" s="93">
        <v>100</v>
      </c>
      <c r="B25" s="108">
        <v>1.1660999999999999</v>
      </c>
      <c r="C25" s="106">
        <v>1.1632</v>
      </c>
      <c r="D25" s="101">
        <v>1.1601999999999999</v>
      </c>
      <c r="E25" s="103">
        <v>1.1573</v>
      </c>
      <c r="F25" s="99">
        <v>1.1685000000000001</v>
      </c>
      <c r="G25" s="100">
        <v>1.1656</v>
      </c>
      <c r="H25" s="101">
        <v>1.1527000000000001</v>
      </c>
      <c r="I25" s="103">
        <v>1.1597</v>
      </c>
      <c r="J25" s="99">
        <v>1.1709000000000001</v>
      </c>
      <c r="K25" s="100">
        <v>1.1679999999999999</v>
      </c>
      <c r="L25" s="101">
        <v>1.165</v>
      </c>
      <c r="M25" s="103">
        <v>1.1620999999999999</v>
      </c>
      <c r="N25" s="99"/>
      <c r="O25" s="100"/>
      <c r="P25" s="101"/>
      <c r="Q25" s="103"/>
    </row>
    <row r="26" spans="1:17">
      <c r="A26" s="93">
        <v>105</v>
      </c>
      <c r="B26" s="108">
        <v>1.1657</v>
      </c>
      <c r="C26" s="106">
        <v>1.1628000000000001</v>
      </c>
      <c r="D26" s="101">
        <v>1.1597999999999999</v>
      </c>
      <c r="E26" s="103">
        <v>1.1569</v>
      </c>
      <c r="F26" s="99">
        <v>1.1680999999999999</v>
      </c>
      <c r="G26" s="100">
        <v>1.1651</v>
      </c>
      <c r="H26" s="101">
        <v>1.1621999999999999</v>
      </c>
      <c r="I26" s="103">
        <v>1.1592</v>
      </c>
      <c r="J26" s="99">
        <v>1.1705000000000001</v>
      </c>
      <c r="K26" s="100">
        <v>1.1575</v>
      </c>
      <c r="L26" s="101">
        <v>1.1646000000000001</v>
      </c>
      <c r="M26" s="103">
        <v>1.1617</v>
      </c>
      <c r="N26" s="99"/>
      <c r="O26" s="100"/>
      <c r="P26" s="101"/>
      <c r="Q26" s="103"/>
    </row>
    <row r="27" spans="1:17">
      <c r="A27" s="93">
        <v>110</v>
      </c>
      <c r="B27" s="108">
        <v>1.1646000000000001</v>
      </c>
      <c r="C27" s="106">
        <v>1.1616</v>
      </c>
      <c r="D27" s="101">
        <v>1.1587000000000001</v>
      </c>
      <c r="E27" s="103">
        <v>1.1556999999999999</v>
      </c>
      <c r="F27" s="99">
        <v>1.1669</v>
      </c>
      <c r="G27" s="100">
        <v>1.1640999999999999</v>
      </c>
      <c r="H27" s="101">
        <v>1.1611</v>
      </c>
      <c r="I27" s="103">
        <v>1.1581999999999999</v>
      </c>
      <c r="J27" s="99">
        <v>1.1694</v>
      </c>
      <c r="K27" s="100">
        <v>1.1664000000000001</v>
      </c>
      <c r="L27" s="101">
        <v>1.1635</v>
      </c>
      <c r="M27" s="103">
        <v>1.1605000000000001</v>
      </c>
      <c r="N27" s="99"/>
      <c r="O27" s="100"/>
      <c r="P27" s="101"/>
      <c r="Q27" s="103"/>
    </row>
    <row r="28" spans="1:17">
      <c r="A28" s="93">
        <v>115</v>
      </c>
      <c r="B28" s="108">
        <v>1.1631</v>
      </c>
      <c r="C28" s="106">
        <v>1.1600999999999999</v>
      </c>
      <c r="D28" s="101">
        <v>1.1572</v>
      </c>
      <c r="E28" s="103">
        <v>1.1541999999999999</v>
      </c>
      <c r="F28" s="99">
        <v>1.1654</v>
      </c>
      <c r="G28" s="100">
        <v>1.1626000000000001</v>
      </c>
      <c r="H28" s="101">
        <v>1.5960000000000001</v>
      </c>
      <c r="I28" s="103">
        <v>1.1567000000000001</v>
      </c>
      <c r="J28" s="99">
        <v>1.1678999999999999</v>
      </c>
      <c r="K28" s="100">
        <v>1.1649</v>
      </c>
      <c r="L28" s="101">
        <v>1.1625000000000001</v>
      </c>
      <c r="M28" s="103">
        <v>1.159</v>
      </c>
      <c r="N28" s="99"/>
      <c r="O28" s="100"/>
      <c r="P28" s="101"/>
      <c r="Q28" s="103"/>
    </row>
    <row r="29" spans="1:17">
      <c r="A29" s="93">
        <v>120</v>
      </c>
      <c r="B29" s="108">
        <v>1.1617</v>
      </c>
      <c r="C29" s="106">
        <v>1.1587000000000001</v>
      </c>
      <c r="D29" s="101">
        <v>1.1557999999999999</v>
      </c>
      <c r="E29" s="103">
        <v>1.1528</v>
      </c>
      <c r="F29" s="99">
        <v>1.1640999999999999</v>
      </c>
      <c r="G29" s="100">
        <v>1.1612</v>
      </c>
      <c r="H29" s="101">
        <v>1.1581999999999999</v>
      </c>
      <c r="I29" s="103">
        <v>1.1553</v>
      </c>
      <c r="J29" s="99">
        <v>1.1665000000000001</v>
      </c>
      <c r="K29" s="100">
        <v>1.1635</v>
      </c>
      <c r="L29" s="101">
        <v>1.1606000000000001</v>
      </c>
      <c r="M29" s="103">
        <v>1.1576</v>
      </c>
      <c r="N29" s="99"/>
      <c r="O29" s="100"/>
      <c r="P29" s="101"/>
      <c r="Q29" s="103"/>
    </row>
    <row r="30" spans="1:17">
      <c r="A30" s="93">
        <v>125</v>
      </c>
      <c r="B30" s="108">
        <v>1.1611</v>
      </c>
      <c r="C30" s="106">
        <v>1.1579999999999999</v>
      </c>
      <c r="D30" s="101">
        <v>1.155</v>
      </c>
      <c r="E30" s="103">
        <v>1.1518999999999999</v>
      </c>
      <c r="F30" s="99">
        <v>1.1636</v>
      </c>
      <c r="G30" s="100">
        <v>1.1605000000000001</v>
      </c>
      <c r="H30" s="101">
        <v>1.1574</v>
      </c>
      <c r="I30" s="103">
        <v>1.1544000000000001</v>
      </c>
      <c r="J30" s="99">
        <v>1.1661999999999999</v>
      </c>
      <c r="K30" s="100">
        <v>1.1631</v>
      </c>
      <c r="L30" s="101">
        <v>1.1599999999999999</v>
      </c>
      <c r="M30" s="103">
        <v>1.1569</v>
      </c>
      <c r="N30" s="99"/>
      <c r="O30" s="100"/>
      <c r="P30" s="101"/>
      <c r="Q30" s="103"/>
    </row>
    <row r="31" spans="1:17">
      <c r="A31" s="93">
        <v>130</v>
      </c>
      <c r="B31" s="108">
        <v>1.1608000000000001</v>
      </c>
      <c r="C31" s="106">
        <v>1.1577</v>
      </c>
      <c r="D31" s="101">
        <v>1.1547000000000001</v>
      </c>
      <c r="E31" s="103">
        <v>1.1516</v>
      </c>
      <c r="F31" s="99">
        <v>1.1634</v>
      </c>
      <c r="G31" s="100">
        <v>1.1603000000000001</v>
      </c>
      <c r="H31" s="101">
        <v>1.1571</v>
      </c>
      <c r="I31" s="103">
        <v>1.1541999999999999</v>
      </c>
      <c r="J31" s="99">
        <v>1.1659999999999999</v>
      </c>
      <c r="K31" s="100">
        <v>1.1629</v>
      </c>
      <c r="L31" s="101">
        <v>1.1597999999999999</v>
      </c>
      <c r="M31" s="103">
        <v>1.1567000000000001</v>
      </c>
      <c r="N31" s="99"/>
      <c r="O31" s="100"/>
      <c r="P31" s="101"/>
      <c r="Q31" s="103"/>
    </row>
    <row r="32" spans="1:17">
      <c r="A32" s="93">
        <v>135</v>
      </c>
      <c r="B32" s="108">
        <v>1.1597</v>
      </c>
      <c r="C32" s="106">
        <v>1.1566000000000001</v>
      </c>
      <c r="D32" s="101">
        <v>1.1536</v>
      </c>
      <c r="E32" s="103">
        <v>1.1505000000000001</v>
      </c>
      <c r="F32" s="99">
        <v>1.1621999999999999</v>
      </c>
      <c r="G32" s="100">
        <v>1.1591</v>
      </c>
      <c r="H32" s="101">
        <v>1.1559999999999999</v>
      </c>
      <c r="I32" s="103">
        <v>1.153</v>
      </c>
      <c r="J32" s="99">
        <v>1.1648000000000001</v>
      </c>
      <c r="K32" s="100">
        <v>1.1617</v>
      </c>
      <c r="L32" s="101">
        <v>1.1586000000000001</v>
      </c>
      <c r="M32" s="103">
        <v>1.1555</v>
      </c>
      <c r="N32" s="99"/>
      <c r="O32" s="100"/>
      <c r="P32" s="101"/>
      <c r="Q32" s="103"/>
    </row>
    <row r="33" spans="1:17">
      <c r="A33" s="93">
        <v>140</v>
      </c>
      <c r="B33" s="108">
        <v>1.1586000000000001</v>
      </c>
      <c r="C33" s="106">
        <v>1.1555</v>
      </c>
      <c r="D33" s="101">
        <v>1.1525000000000001</v>
      </c>
      <c r="E33" s="103">
        <v>1.1494</v>
      </c>
      <c r="F33" s="99">
        <v>1.1612</v>
      </c>
      <c r="G33" s="100">
        <v>1.1580999999999999</v>
      </c>
      <c r="H33" s="101">
        <v>1.155</v>
      </c>
      <c r="I33" s="103">
        <v>1.1519999999999999</v>
      </c>
      <c r="J33" s="99">
        <v>1.1637</v>
      </c>
      <c r="K33" s="100">
        <v>1.1606000000000001</v>
      </c>
      <c r="L33" s="101">
        <v>1.1575</v>
      </c>
      <c r="M33" s="103">
        <v>1.1544000000000001</v>
      </c>
      <c r="N33" s="99"/>
      <c r="O33" s="100"/>
      <c r="P33" s="101"/>
      <c r="Q33" s="103"/>
    </row>
    <row r="34" spans="1:17">
      <c r="A34" s="93">
        <v>145</v>
      </c>
      <c r="B34" s="108">
        <v>1.1576</v>
      </c>
      <c r="C34" s="106">
        <v>1.1545000000000001</v>
      </c>
      <c r="D34" s="101">
        <v>1.1514</v>
      </c>
      <c r="E34" s="103">
        <v>1.1484000000000001</v>
      </c>
      <c r="F34" s="99">
        <v>1.1601999999999999</v>
      </c>
      <c r="G34" s="100">
        <v>1.1571</v>
      </c>
      <c r="H34" s="101">
        <v>1.1539999999999999</v>
      </c>
      <c r="I34" s="103">
        <v>1.1509</v>
      </c>
      <c r="J34" s="99">
        <v>1.1627000000000001</v>
      </c>
      <c r="K34" s="100">
        <v>1.1597</v>
      </c>
      <c r="L34" s="101">
        <v>1.1566000000000001</v>
      </c>
      <c r="M34" s="103">
        <v>1.1535</v>
      </c>
      <c r="N34" s="99"/>
      <c r="O34" s="100"/>
      <c r="P34" s="101"/>
      <c r="Q34" s="103"/>
    </row>
    <row r="35" spans="1:17">
      <c r="A35" s="93">
        <v>150</v>
      </c>
      <c r="B35" s="108">
        <v>1.1567000000000001</v>
      </c>
      <c r="C35" s="106">
        <v>1.1536</v>
      </c>
      <c r="D35" s="101">
        <v>1.1506000000000001</v>
      </c>
      <c r="E35" s="103">
        <v>1.1475</v>
      </c>
      <c r="F35" s="99">
        <v>1.1592</v>
      </c>
      <c r="G35" s="100">
        <v>1.1560999999999999</v>
      </c>
      <c r="H35" s="101">
        <v>1.153</v>
      </c>
      <c r="I35" s="103">
        <v>1.1499999999999999</v>
      </c>
      <c r="J35" s="99">
        <v>1.1617999999999999</v>
      </c>
      <c r="K35" s="100">
        <v>1.1587000000000001</v>
      </c>
      <c r="L35" s="101">
        <v>1.1556</v>
      </c>
      <c r="M35" s="103">
        <v>1.1525000000000001</v>
      </c>
      <c r="N35" s="99"/>
      <c r="O35" s="100"/>
      <c r="P35" s="101"/>
      <c r="Q35" s="103"/>
    </row>
    <row r="36" spans="1:17">
      <c r="A36" s="93">
        <v>155</v>
      </c>
      <c r="B36" s="108">
        <v>1.1557999999999999</v>
      </c>
      <c r="C36" s="106">
        <v>1.1527000000000001</v>
      </c>
      <c r="D36" s="101">
        <v>1.1496999999999999</v>
      </c>
      <c r="E36" s="103">
        <v>1.1466000000000001</v>
      </c>
      <c r="F36" s="99">
        <v>1.1584000000000001</v>
      </c>
      <c r="G36" s="100">
        <v>1.1553</v>
      </c>
      <c r="H36" s="101">
        <v>1.1521999999999999</v>
      </c>
      <c r="I36" s="103">
        <v>1.1492</v>
      </c>
      <c r="J36" s="99">
        <v>1.161</v>
      </c>
      <c r="K36" s="100">
        <v>1.1577999999999999</v>
      </c>
      <c r="L36" s="101">
        <v>1.1547000000000001</v>
      </c>
      <c r="M36" s="103">
        <v>1.1516</v>
      </c>
      <c r="N36" s="99"/>
      <c r="O36" s="100"/>
      <c r="P36" s="101"/>
      <c r="Q36" s="103"/>
    </row>
    <row r="37" spans="1:17">
      <c r="A37" s="93">
        <v>160</v>
      </c>
      <c r="B37" s="108">
        <v>1.155</v>
      </c>
      <c r="C37" s="106">
        <v>1.1519999999999999</v>
      </c>
      <c r="D37" s="101">
        <v>1.1489</v>
      </c>
      <c r="E37" s="103">
        <v>1.1457999999999999</v>
      </c>
      <c r="F37" s="99">
        <v>1.1575</v>
      </c>
      <c r="G37" s="100">
        <v>1.1544000000000001</v>
      </c>
      <c r="H37" s="101">
        <v>1.1514</v>
      </c>
      <c r="I37" s="103">
        <v>1.1483000000000001</v>
      </c>
      <c r="J37" s="99">
        <v>1.1600999999999999</v>
      </c>
      <c r="K37" s="100">
        <v>1.157</v>
      </c>
      <c r="L37" s="101">
        <v>1.1538999999999999</v>
      </c>
      <c r="M37" s="103">
        <v>1.1509</v>
      </c>
      <c r="N37" s="99"/>
      <c r="O37" s="100"/>
      <c r="P37" s="101"/>
      <c r="Q37" s="103"/>
    </row>
    <row r="38" spans="1:17">
      <c r="A38" s="93">
        <v>165</v>
      </c>
      <c r="B38" s="108">
        <v>1.1541999999999999</v>
      </c>
      <c r="C38" s="106">
        <v>1.1511</v>
      </c>
      <c r="D38" s="101">
        <v>1.1480999999999999</v>
      </c>
      <c r="E38" s="103">
        <v>1.145</v>
      </c>
      <c r="F38" s="99">
        <v>1.1568000000000001</v>
      </c>
      <c r="G38" s="100">
        <v>1.1536999999999999</v>
      </c>
      <c r="H38" s="101">
        <v>1.1506000000000001</v>
      </c>
      <c r="I38" s="103">
        <v>1.1476</v>
      </c>
      <c r="J38" s="99">
        <v>1.1593</v>
      </c>
      <c r="K38" s="100">
        <v>1.1561999999999999</v>
      </c>
      <c r="L38" s="101">
        <v>1.1531</v>
      </c>
      <c r="M38" s="103">
        <v>1.1499999999999999</v>
      </c>
      <c r="N38" s="99"/>
      <c r="O38" s="100"/>
      <c r="P38" s="101"/>
      <c r="Q38" s="103"/>
    </row>
    <row r="39" spans="1:17">
      <c r="A39" s="93">
        <v>170</v>
      </c>
      <c r="B39" s="108">
        <v>1.1535</v>
      </c>
      <c r="C39" s="106">
        <v>1.1505000000000001</v>
      </c>
      <c r="D39" s="101">
        <v>1.1474</v>
      </c>
      <c r="E39" s="103">
        <v>1.1443000000000001</v>
      </c>
      <c r="F39" s="99">
        <v>1.1559999999999999</v>
      </c>
      <c r="G39" s="100">
        <v>1.1529</v>
      </c>
      <c r="H39" s="101">
        <v>1.1498999999999999</v>
      </c>
      <c r="I39" s="103">
        <v>1.1468</v>
      </c>
      <c r="J39" s="99">
        <v>1.1586000000000001</v>
      </c>
      <c r="K39" s="100">
        <v>1.1555</v>
      </c>
      <c r="L39" s="101">
        <v>1.1524000000000001</v>
      </c>
      <c r="M39" s="103">
        <v>1.1494</v>
      </c>
      <c r="N39" s="99"/>
      <c r="O39" s="100"/>
      <c r="P39" s="101"/>
      <c r="Q39" s="103"/>
    </row>
    <row r="40" spans="1:17">
      <c r="A40" s="93">
        <v>175</v>
      </c>
      <c r="B40" s="108">
        <v>1.1528</v>
      </c>
      <c r="C40" s="106">
        <v>1.1496999999999999</v>
      </c>
      <c r="D40" s="101">
        <v>1.1467000000000001</v>
      </c>
      <c r="E40" s="103">
        <v>1.1435999999999999</v>
      </c>
      <c r="F40" s="99">
        <v>1.1554</v>
      </c>
      <c r="G40" s="100">
        <v>1.1523000000000001</v>
      </c>
      <c r="H40" s="101">
        <v>1.1492</v>
      </c>
      <c r="I40" s="103">
        <v>1.1462000000000001</v>
      </c>
      <c r="J40" s="99">
        <v>1.1579999999999999</v>
      </c>
      <c r="K40" s="100">
        <v>1.1549</v>
      </c>
      <c r="L40" s="101">
        <v>1.1516999999999999</v>
      </c>
      <c r="M40" s="103">
        <v>1.1486000000000001</v>
      </c>
      <c r="N40" s="99"/>
      <c r="O40" s="100"/>
      <c r="P40" s="101"/>
      <c r="Q40" s="103"/>
    </row>
    <row r="41" spans="1:17">
      <c r="A41" s="93">
        <v>180</v>
      </c>
      <c r="B41" s="108">
        <v>1.1521999999999999</v>
      </c>
      <c r="C41" s="106">
        <v>1.1491</v>
      </c>
      <c r="D41" s="101">
        <v>1.1460999999999999</v>
      </c>
      <c r="E41" s="103">
        <v>1.143</v>
      </c>
      <c r="F41" s="99">
        <v>1.1547000000000001</v>
      </c>
      <c r="G41" s="100">
        <v>1.1516</v>
      </c>
      <c r="H41" s="101">
        <v>1.1485000000000001</v>
      </c>
      <c r="I41" s="103">
        <v>1.1455</v>
      </c>
      <c r="J41" s="99">
        <v>1.1573</v>
      </c>
      <c r="K41" s="100">
        <v>1.1541999999999999</v>
      </c>
      <c r="L41" s="101">
        <v>1.1511</v>
      </c>
      <c r="M41" s="103">
        <v>1.1479999999999999</v>
      </c>
      <c r="N41" s="99"/>
      <c r="O41" s="100"/>
      <c r="P41" s="101"/>
      <c r="Q41" s="103"/>
    </row>
    <row r="42" spans="1:17">
      <c r="A42" s="93">
        <v>185</v>
      </c>
      <c r="B42" s="108">
        <v>1.1515</v>
      </c>
      <c r="C42" s="106">
        <v>1.1485000000000001</v>
      </c>
      <c r="D42" s="101">
        <v>1.1454</v>
      </c>
      <c r="E42" s="103">
        <v>1.1423000000000001</v>
      </c>
      <c r="F42" s="99">
        <v>1.1540999999999999</v>
      </c>
      <c r="G42" s="100">
        <v>1.151</v>
      </c>
      <c r="H42" s="101">
        <v>1.1479999999999999</v>
      </c>
      <c r="I42" s="103">
        <v>1.1449</v>
      </c>
      <c r="J42" s="99">
        <v>1.1567000000000001</v>
      </c>
      <c r="K42" s="100">
        <v>1.1536</v>
      </c>
      <c r="L42" s="101">
        <v>1.1505000000000001</v>
      </c>
      <c r="M42" s="103">
        <v>1.1475</v>
      </c>
      <c r="N42" s="99"/>
      <c r="O42" s="100"/>
      <c r="P42" s="101"/>
      <c r="Q42" s="103"/>
    </row>
    <row r="43" spans="1:17">
      <c r="A43" s="93">
        <v>190</v>
      </c>
      <c r="B43" s="108">
        <v>1.151</v>
      </c>
      <c r="C43" s="106">
        <v>1.1478999999999999</v>
      </c>
      <c r="D43" s="101">
        <v>1.1448</v>
      </c>
      <c r="E43" s="103">
        <v>1.1417999999999999</v>
      </c>
      <c r="F43" s="99">
        <v>1.1536</v>
      </c>
      <c r="G43" s="100">
        <v>1.1505000000000001</v>
      </c>
      <c r="H43" s="101">
        <v>1.1474</v>
      </c>
      <c r="I43" s="103">
        <v>1.1443000000000001</v>
      </c>
      <c r="J43" s="99">
        <v>1.1559999999999999</v>
      </c>
      <c r="K43" s="100">
        <v>1.1579999999999999</v>
      </c>
      <c r="L43" s="101">
        <v>1.1498999999999999</v>
      </c>
      <c r="M43" s="103">
        <v>1.1469</v>
      </c>
      <c r="N43" s="99"/>
      <c r="O43" s="100"/>
      <c r="P43" s="101"/>
      <c r="Q43" s="103"/>
    </row>
    <row r="44" spans="1:17">
      <c r="A44" s="93">
        <v>195</v>
      </c>
      <c r="B44" s="108">
        <v>1.1505000000000001</v>
      </c>
      <c r="C44" s="106">
        <v>1.1474</v>
      </c>
      <c r="D44" s="101">
        <v>1.1443000000000001</v>
      </c>
      <c r="E44" s="103">
        <v>1.1413</v>
      </c>
      <c r="F44" s="99">
        <v>1.153</v>
      </c>
      <c r="G44" s="100">
        <v>1.1498999999999999</v>
      </c>
      <c r="H44" s="101">
        <v>1.1468</v>
      </c>
      <c r="I44" s="103">
        <v>1.1436999999999999</v>
      </c>
      <c r="J44" s="99">
        <v>1.1555</v>
      </c>
      <c r="K44" s="100">
        <v>1.1525000000000001</v>
      </c>
      <c r="L44" s="101">
        <v>1.1494</v>
      </c>
      <c r="M44" s="103">
        <v>1.1463000000000001</v>
      </c>
      <c r="N44" s="99"/>
      <c r="O44" s="100"/>
      <c r="P44" s="101"/>
      <c r="Q44" s="103"/>
    </row>
    <row r="45" spans="1:17" ht="24.75" thickBot="1">
      <c r="A45" s="93" t="s">
        <v>117</v>
      </c>
      <c r="B45" s="112">
        <v>1.1498999999999999</v>
      </c>
      <c r="C45" s="113">
        <v>1.1468</v>
      </c>
      <c r="D45" s="102">
        <v>1.1437999999999999</v>
      </c>
      <c r="E45" s="114">
        <v>1.1407</v>
      </c>
      <c r="F45" s="110">
        <v>1.1525000000000001</v>
      </c>
      <c r="G45" s="111">
        <v>1.1494</v>
      </c>
      <c r="H45" s="102">
        <v>1.1463000000000001</v>
      </c>
      <c r="I45" s="114">
        <v>1.1433</v>
      </c>
      <c r="J45" s="110">
        <v>1.1551</v>
      </c>
      <c r="K45" s="111">
        <v>1.1519999999999999</v>
      </c>
      <c r="L45" s="102">
        <v>1.1489</v>
      </c>
      <c r="M45" s="114">
        <v>1.1457999999999999</v>
      </c>
      <c r="N45" s="110"/>
      <c r="O45" s="111"/>
      <c r="P45" s="102"/>
      <c r="Q45" s="114"/>
    </row>
    <row r="46" spans="1:17" ht="24.75" thickTop="1"/>
  </sheetData>
  <mergeCells count="8">
    <mergeCell ref="B2:E2"/>
    <mergeCell ref="F2:I2"/>
    <mergeCell ref="J2:M2"/>
    <mergeCell ref="N2:Q2"/>
    <mergeCell ref="B3:E3"/>
    <mergeCell ref="F3:I3"/>
    <mergeCell ref="J3:M3"/>
    <mergeCell ref="N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G21" sqref="G21"/>
    </sheetView>
  </sheetViews>
  <sheetFormatPr defaultRowHeight="21.75"/>
  <cols>
    <col min="2" max="4" width="17.140625" customWidth="1"/>
    <col min="5" max="5" width="16.28515625" customWidth="1"/>
    <col min="6" max="6" width="14.7109375" customWidth="1"/>
  </cols>
  <sheetData>
    <row r="1" spans="1:6">
      <c r="E1" s="53">
        <v>23253000</v>
      </c>
    </row>
    <row r="2" spans="1:6">
      <c r="B2" s="46" t="s">
        <v>83</v>
      </c>
      <c r="C2" s="46" t="s">
        <v>28</v>
      </c>
      <c r="D2" s="46" t="s">
        <v>84</v>
      </c>
      <c r="E2" t="s">
        <v>81</v>
      </c>
      <c r="F2" t="s">
        <v>82</v>
      </c>
    </row>
    <row r="3" spans="1:6">
      <c r="A3">
        <v>1</v>
      </c>
      <c r="B3" s="47">
        <f>1.2352*1000000</f>
        <v>1235200</v>
      </c>
      <c r="C3" s="47">
        <v>650000</v>
      </c>
      <c r="D3" s="47">
        <f>+C3+B3</f>
        <v>1885200</v>
      </c>
      <c r="E3" s="50">
        <f>+D3/$E$1</f>
        <v>8.1073409882595787E-2</v>
      </c>
      <c r="F3" s="51">
        <v>0.1</v>
      </c>
    </row>
    <row r="4" spans="1:6">
      <c r="A4">
        <v>2</v>
      </c>
      <c r="B4" s="47">
        <f>2100000*1.2352</f>
        <v>2593920</v>
      </c>
      <c r="C4" s="47">
        <v>650000</v>
      </c>
      <c r="D4" s="47">
        <f t="shared" ref="D4:D16" si="0">+C4+B4</f>
        <v>3243920</v>
      </c>
      <c r="E4" s="50">
        <f t="shared" ref="E4:E15" si="1">+D4/$E$1</f>
        <v>0.13950544015825914</v>
      </c>
      <c r="F4" s="51">
        <v>0.1</v>
      </c>
    </row>
    <row r="5" spans="1:6">
      <c r="A5">
        <v>3</v>
      </c>
      <c r="B5" s="47">
        <f>1.2352*850000</f>
        <v>1049920</v>
      </c>
      <c r="C5" s="47">
        <v>400000</v>
      </c>
      <c r="D5" s="47">
        <f t="shared" si="0"/>
        <v>1449920</v>
      </c>
      <c r="E5" s="50">
        <f t="shared" si="1"/>
        <v>6.2354104846686451E-2</v>
      </c>
      <c r="F5" s="51">
        <v>0.08</v>
      </c>
    </row>
    <row r="6" spans="1:6">
      <c r="A6">
        <v>4</v>
      </c>
      <c r="B6" s="47">
        <f>1.2352*1250000</f>
        <v>1544000</v>
      </c>
      <c r="C6" s="47">
        <v>400000</v>
      </c>
      <c r="D6" s="47">
        <f t="shared" si="0"/>
        <v>1944000</v>
      </c>
      <c r="E6" s="50">
        <f t="shared" si="1"/>
        <v>8.360211585601858E-2</v>
      </c>
      <c r="F6" s="51">
        <v>0.08</v>
      </c>
    </row>
    <row r="7" spans="1:6">
      <c r="A7">
        <v>5</v>
      </c>
      <c r="B7" s="47">
        <f>1.2352*1250000</f>
        <v>1544000</v>
      </c>
      <c r="C7" s="47">
        <v>400000</v>
      </c>
      <c r="D7" s="47">
        <f t="shared" si="0"/>
        <v>1944000</v>
      </c>
      <c r="E7" s="50">
        <f t="shared" si="1"/>
        <v>8.360211585601858E-2</v>
      </c>
      <c r="F7" s="51">
        <v>0.08</v>
      </c>
    </row>
    <row r="8" spans="1:6">
      <c r="A8">
        <v>6</v>
      </c>
      <c r="B8" s="47">
        <f>1.2352*1300000</f>
        <v>1605760</v>
      </c>
      <c r="C8" s="47">
        <v>400000</v>
      </c>
      <c r="D8" s="47">
        <f t="shared" si="0"/>
        <v>2005760</v>
      </c>
      <c r="E8" s="50">
        <f t="shared" si="1"/>
        <v>8.62581172321851E-2</v>
      </c>
      <c r="F8" s="51">
        <v>0.08</v>
      </c>
    </row>
    <row r="9" spans="1:6">
      <c r="A9">
        <v>7</v>
      </c>
      <c r="B9" s="47">
        <f>1.2352*800000</f>
        <v>988160.00000000012</v>
      </c>
      <c r="C9" s="47">
        <v>400000</v>
      </c>
      <c r="D9" s="47">
        <f t="shared" si="0"/>
        <v>1388160</v>
      </c>
      <c r="E9" s="50">
        <f t="shared" si="1"/>
        <v>5.9698103470519931E-2</v>
      </c>
      <c r="F9" s="51">
        <v>0.06</v>
      </c>
    </row>
    <row r="10" spans="1:6">
      <c r="A10">
        <v>8</v>
      </c>
      <c r="B10" s="47">
        <f>1.2352*400000</f>
        <v>494080.00000000006</v>
      </c>
      <c r="C10" s="47">
        <v>400000</v>
      </c>
      <c r="D10" s="47">
        <f t="shared" si="0"/>
        <v>894080</v>
      </c>
      <c r="E10" s="50">
        <f t="shared" si="1"/>
        <v>3.8450092461187801E-2</v>
      </c>
      <c r="F10" s="51">
        <v>0.04</v>
      </c>
    </row>
    <row r="11" spans="1:6">
      <c r="A11">
        <v>9</v>
      </c>
      <c r="B11" s="47">
        <f>1.2352*400000</f>
        <v>494080.00000000006</v>
      </c>
      <c r="C11" s="47">
        <v>300000</v>
      </c>
      <c r="D11" s="47">
        <f t="shared" si="0"/>
        <v>794080</v>
      </c>
      <c r="E11" s="50">
        <f t="shared" si="1"/>
        <v>3.4149572098223883E-2</v>
      </c>
      <c r="F11" s="51">
        <v>0.04</v>
      </c>
    </row>
    <row r="12" spans="1:6">
      <c r="A12">
        <v>10</v>
      </c>
      <c r="B12" s="47">
        <f>1.2352*1350000</f>
        <v>1667520</v>
      </c>
      <c r="C12" s="47">
        <v>300000</v>
      </c>
      <c r="D12" s="47">
        <f t="shared" si="0"/>
        <v>1967520</v>
      </c>
      <c r="E12" s="50">
        <f t="shared" si="1"/>
        <v>8.4613598245387694E-2</v>
      </c>
      <c r="F12" s="51">
        <v>0.08</v>
      </c>
    </row>
    <row r="13" spans="1:6">
      <c r="A13">
        <v>11</v>
      </c>
      <c r="B13" s="47">
        <f>1.2352*1350000</f>
        <v>1667520</v>
      </c>
      <c r="C13" s="47">
        <v>300000</v>
      </c>
      <c r="D13" s="47">
        <f t="shared" si="0"/>
        <v>1967520</v>
      </c>
      <c r="E13" s="50">
        <f t="shared" si="1"/>
        <v>8.4613598245387694E-2</v>
      </c>
      <c r="F13" s="51">
        <v>0.08</v>
      </c>
    </row>
    <row r="14" spans="1:6">
      <c r="A14">
        <v>12</v>
      </c>
      <c r="B14" s="47">
        <f>1.2352*1580000</f>
        <v>1951616.0000000002</v>
      </c>
      <c r="C14" s="47">
        <v>300000</v>
      </c>
      <c r="D14" s="47">
        <f t="shared" si="0"/>
        <v>2251616</v>
      </c>
      <c r="E14" s="50">
        <f t="shared" si="1"/>
        <v>9.6831204575753671E-2</v>
      </c>
      <c r="F14" s="51">
        <v>0.08</v>
      </c>
    </row>
    <row r="15" spans="1:6">
      <c r="A15">
        <v>13</v>
      </c>
      <c r="B15" s="47">
        <f>1.2352*1000000</f>
        <v>1235200</v>
      </c>
      <c r="C15" s="47">
        <v>300000</v>
      </c>
      <c r="D15" s="47">
        <f t="shared" si="0"/>
        <v>1535200</v>
      </c>
      <c r="E15" s="50">
        <f t="shared" si="1"/>
        <v>6.6021588612222085E-2</v>
      </c>
      <c r="F15" s="51">
        <v>0.1</v>
      </c>
    </row>
    <row r="16" spans="1:6" ht="26.25">
      <c r="B16" s="48">
        <f>SUM(B3:B15)</f>
        <v>18070976</v>
      </c>
      <c r="C16" s="48">
        <f>SUM(C3:C15)</f>
        <v>5200000</v>
      </c>
      <c r="D16" s="47">
        <f t="shared" si="0"/>
        <v>23270976</v>
      </c>
      <c r="E16" s="49">
        <f>SUM(E3:E15)</f>
        <v>1.0007730615404464</v>
      </c>
      <c r="F16" s="52">
        <f>SUM(F3:F15)</f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16</vt:i4>
      </vt:variant>
      <vt:variant>
        <vt:lpstr>ช่วงที่มีชื่อ</vt:lpstr>
      </vt:variant>
      <vt:variant>
        <vt:i4>29</vt:i4>
      </vt:variant>
    </vt:vector>
  </HeadingPairs>
  <TitlesOfParts>
    <vt:vector size="45" baseType="lpstr">
      <vt:lpstr>แบบ ปร.6</vt:lpstr>
      <vt:lpstr>ใบสรุปแบบ ปร.5 (ก) </vt:lpstr>
      <vt:lpstr>ใบสรุปแบบ ปร.5 (ข)</vt:lpstr>
      <vt:lpstr>แบบ ปร.4_อาคาร</vt:lpstr>
      <vt:lpstr>แบบ ปร.4ไฟฟ้าภายใน</vt:lpstr>
      <vt:lpstr>แบบ ปร.4_ประปาภายใน</vt:lpstr>
      <vt:lpstr>แบบ ปร.4 ภูมิ+ถนน+ลาน</vt:lpstr>
      <vt:lpstr>แบบ ปร.ไฟฟ้านอก</vt:lpstr>
      <vt:lpstr>แบบ ปร.ประปานอก</vt:lpstr>
      <vt:lpstr>แบบ ปร.4_ครุภัณฑ์</vt:lpstr>
      <vt:lpstr>แบบ ปร.4(พ)</vt:lpstr>
      <vt:lpstr>แบบแสดงการคำนวณ ฯ(พ)ตามข้อกำหนด</vt:lpstr>
      <vt:lpstr>F_Advance(งานอาคาร)</vt:lpstr>
      <vt:lpstr>F_Advance(งานทาง)</vt:lpstr>
      <vt:lpstr>F_Advance(สะพาน)</vt:lpstr>
      <vt:lpstr>งวดงาน</vt:lpstr>
      <vt:lpstr>BUDJET1</vt:lpstr>
      <vt:lpstr>BUDJET2</vt:lpstr>
      <vt:lpstr>'F_Advance(งานทาง)'!BUDJET3</vt:lpstr>
      <vt:lpstr>BUDJET3</vt:lpstr>
      <vt:lpstr>FBRIDGE</vt:lpstr>
      <vt:lpstr>FBUILD</vt:lpstr>
      <vt:lpstr>FROAD</vt:lpstr>
      <vt:lpstr>'แบบ ปร.4 ภูมิ+ถนน+ลาน'!Print_Area</vt:lpstr>
      <vt:lpstr>'แบบ ปร.4_ครุภัณฑ์'!Print_Area</vt:lpstr>
      <vt:lpstr>'แบบ ปร.4_ประปาภายใน'!Print_Area</vt:lpstr>
      <vt:lpstr>'แบบ ปร.4_อาคาร'!Print_Area</vt:lpstr>
      <vt:lpstr>'แบบ ปร.4ไฟฟ้าภายใน'!Print_Area</vt:lpstr>
      <vt:lpstr>'แบบ ปร.6'!Print_Area</vt:lpstr>
      <vt:lpstr>'แบบ ปร.ประปานอก'!Print_Area</vt:lpstr>
      <vt:lpstr>'แบบ ปร.ไฟฟ้านอก'!Print_Area</vt:lpstr>
      <vt:lpstr>'แบบแสดงการคำนวณ ฯ(พ)ตามข้อกำหนด'!Print_Area</vt:lpstr>
      <vt:lpstr>'ใบสรุปแบบ ปร.5 (ก) '!Print_Area</vt:lpstr>
      <vt:lpstr>'ใบสรุปแบบ ปร.5 (ข)'!Print_Area</vt:lpstr>
      <vt:lpstr>'แบบ ปร.4 ภูมิ+ถนน+ลาน'!Print_Titles</vt:lpstr>
      <vt:lpstr>'แบบ ปร.4(พ)'!Print_Titles</vt:lpstr>
      <vt:lpstr>'แบบ ปร.4_ครุภัณฑ์'!Print_Titles</vt:lpstr>
      <vt:lpstr>'แบบ ปร.4_ประปาภายใน'!Print_Titles</vt:lpstr>
      <vt:lpstr>'แบบ ปร.4_อาคาร'!Print_Titles</vt:lpstr>
      <vt:lpstr>'แบบ ปร.4ไฟฟ้าภายใน'!Print_Titles</vt:lpstr>
      <vt:lpstr>'แบบ ปร.ประปานอก'!Print_Titles</vt:lpstr>
      <vt:lpstr>'แบบ ปร.ไฟฟ้านอก'!Print_Titles</vt:lpstr>
      <vt:lpstr>RET_0</vt:lpstr>
      <vt:lpstr>RET_10</vt:lpstr>
      <vt:lpstr>RET_5</vt:lpstr>
    </vt:vector>
  </TitlesOfParts>
  <Company>Navy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</dc:creator>
  <cp:lastModifiedBy>admin</cp:lastModifiedBy>
  <cp:lastPrinted>2020-01-07T02:40:18Z</cp:lastPrinted>
  <dcterms:created xsi:type="dcterms:W3CDTF">1998-05-25T01:58:18Z</dcterms:created>
  <dcterms:modified xsi:type="dcterms:W3CDTF">2020-01-07T02:43:05Z</dcterms:modified>
</cp:coreProperties>
</file>