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แบบและปะมาณราคา\ปี 63\ก่อสร้างอาคารประทวนโสด (NCOQ) สอ.รฝ. 2 หลัง 35 ลบ\"/>
    </mc:Choice>
  </mc:AlternateContent>
  <bookViews>
    <workbookView xWindow="-105" yWindow="-105" windowWidth="23250" windowHeight="12570" tabRatio="918" firstSheet="2" activeTab="20"/>
  </bookViews>
  <sheets>
    <sheet name="แบบ ปร.6" sheetId="19" r:id="rId1"/>
    <sheet name="ใบสรุปแบบ ปร.5 (ก) " sheetId="2" r:id="rId2"/>
    <sheet name="ใบสรุปแบบ ปร.5 (ข)" sheetId="30" r:id="rId3"/>
    <sheet name="แบบ ปร.4_อาคาร" sheetId="29" r:id="rId4"/>
    <sheet name="แบบ ปร.4_ประปา" sheetId="37" state="hidden" r:id="rId5"/>
    <sheet name="แบบ ปร.4_ไฟฟ้า" sheetId="39" state="hidden" r:id="rId6"/>
    <sheet name="แบบ ปร.4_ฟฟ_ภายนอก" sheetId="36" state="hidden" r:id="rId7"/>
    <sheet name="แบบ ปร.4_ปป_ภายนอก" sheetId="40" state="hidden" r:id="rId8"/>
    <sheet name="ไฟฟ้าใน" sheetId="45" r:id="rId9"/>
    <sheet name="ประปาใน" sheetId="47" r:id="rId10"/>
    <sheet name="งานภูมิทัศน์" sheetId="44" r:id="rId11"/>
    <sheet name="ไฟฟ้านอก" sheetId="46" r:id="rId12"/>
    <sheet name="ประปานอก" sheetId="48" r:id="rId13"/>
    <sheet name="แบบ ปร.4_ครุภัณฑ์" sheetId="38" state="hidden" r:id="rId14"/>
    <sheet name="แบบ ปร.4(พ)" sheetId="41" state="hidden" r:id="rId15"/>
    <sheet name="แบบแสดงการคำนวณ ฯ(พ)ตามข้อกำหนด" sheetId="23" state="hidden" r:id="rId16"/>
    <sheet name="F_Advance(งานอาคาร)" sheetId="24" state="hidden" r:id="rId17"/>
    <sheet name="F_Advance(งานทาง)" sheetId="43" state="hidden" r:id="rId18"/>
    <sheet name="F_Advance(สะพาน)" sheetId="42" state="hidden" r:id="rId19"/>
    <sheet name="งวดงาน" sheetId="26" state="hidden" r:id="rId20"/>
    <sheet name="ครุภัณฑ์" sheetId="50" r:id="rId21"/>
  </sheets>
  <externalReferences>
    <externalReference r:id="rId22"/>
  </externalReferences>
  <definedNames>
    <definedName name="BUDJET1">'F_Advance(งานอาคาร)'!$A$5:$A$29</definedName>
    <definedName name="BUDJET2">'F_Advance(งานทาง)'!$A$6:$A$43</definedName>
    <definedName name="BUDJET3" localSheetId="17">'F_Advance(งานทาง)'!$A$6:$A$43</definedName>
    <definedName name="BUDJET3">'F_Advance(สะพาน)'!$A$5:$A$45</definedName>
    <definedName name="FBRIDGE">'F_Advance(สะพาน)'!$A$1:$Q$45</definedName>
    <definedName name="FBUILD">'F_Advance(งานอาคาร)'!$A$2:$Q$29</definedName>
    <definedName name="FROAD">'F_Advance(งานทาง)'!$A$3:$AK$43</definedName>
    <definedName name="_xlnm.Print_Area" localSheetId="20">ครุภัณฑ์!$A$1:$J$26</definedName>
    <definedName name="_xlnm.Print_Area" localSheetId="10">งานภูมิทัศน์!$A$1:$J$24</definedName>
    <definedName name="_xlnm.Print_Area" localSheetId="13">'แบบ ปร.4_ครุภัณฑ์'!$A$1:$J$30</definedName>
    <definedName name="_xlnm.Print_Area" localSheetId="7">'แบบ ปร.4_ปป_ภายนอก'!$A$1:$J$30</definedName>
    <definedName name="_xlnm.Print_Area" localSheetId="4">'แบบ ปร.4_ประปา'!$A$1:$J$30</definedName>
    <definedName name="_xlnm.Print_Area" localSheetId="6">'แบบ ปร.4_ฟฟ_ภายนอก'!$A$1:$J$48</definedName>
    <definedName name="_xlnm.Print_Area" localSheetId="5">'แบบ ปร.4_ไฟฟ้า'!$A$1:$J$30</definedName>
    <definedName name="_xlnm.Print_Area" localSheetId="3">'แบบ ปร.4_อาคาร'!$A$1:$J$177</definedName>
    <definedName name="_xlnm.Print_Area" localSheetId="0">'แบบ ปร.6'!$A$1:$D$38</definedName>
    <definedName name="_xlnm.Print_Area" localSheetId="15">'แบบแสดงการคำนวณ ฯ(พ)ตามข้อกำหนด'!$A$1:$L$38</definedName>
    <definedName name="_xlnm.Print_Area" localSheetId="1">'ใบสรุปแบบ ปร.5 (ก) '!$A$1:$I$37</definedName>
    <definedName name="_xlnm.Print_Area" localSheetId="2">'ใบสรุปแบบ ปร.5 (ข)'!$A$1:$I$35</definedName>
    <definedName name="_xlnm.Print_Area" localSheetId="12">ประปานอก!$A$1:$J$102</definedName>
    <definedName name="_xlnm.Print_Area" localSheetId="9">ประปาใน!$A$1:$J$253</definedName>
    <definedName name="_xlnm.Print_Area" localSheetId="11">ไฟฟ้านอก!$A$1:$J$70</definedName>
    <definedName name="_xlnm.Print_Area" localSheetId="8">ไฟฟ้าใน!$A$1:$J$128</definedName>
    <definedName name="_xlnm.Print_Titles" localSheetId="20">ครุภัณฑ์!$1:$7</definedName>
    <definedName name="_xlnm.Print_Titles" localSheetId="10">งานภูมิทัศน์!$1:$7</definedName>
    <definedName name="_xlnm.Print_Titles" localSheetId="14">'แบบ ปร.4(พ)'!$1:$8</definedName>
    <definedName name="_xlnm.Print_Titles" localSheetId="13">'แบบ ปร.4_ครุภัณฑ์'!$1:$7</definedName>
    <definedName name="_xlnm.Print_Titles" localSheetId="7">'แบบ ปร.4_ปป_ภายนอก'!$1:$7</definedName>
    <definedName name="_xlnm.Print_Titles" localSheetId="4">'แบบ ปร.4_ประปา'!$1:$7</definedName>
    <definedName name="_xlnm.Print_Titles" localSheetId="6">'แบบ ปร.4_ฟฟ_ภายนอก'!$1:$7</definedName>
    <definedName name="_xlnm.Print_Titles" localSheetId="5">'แบบ ปร.4_ไฟฟ้า'!$1:$7</definedName>
    <definedName name="_xlnm.Print_Titles" localSheetId="3">'แบบ ปร.4_อาคาร'!$1:$7</definedName>
    <definedName name="_xlnm.Print_Titles" localSheetId="12">ประปานอก!$1:$7</definedName>
    <definedName name="_xlnm.Print_Titles" localSheetId="9">ประปาใน!$1:$7</definedName>
    <definedName name="_xlnm.Print_Titles" localSheetId="11">ไฟฟ้านอก!$1:$7</definedName>
    <definedName name="_xlnm.Print_Titles" localSheetId="8">ไฟฟ้าใน!$1:$7</definedName>
    <definedName name="RET_0">'F_Advance(งานอาคาร)'!$A$4:$E$29</definedName>
    <definedName name="RET_10">'F_Advance(งานอาคาร)'!$A$4:$A$29,'F_Advance(งานอาคาร)'!$J$4:$L$29</definedName>
    <definedName name="RET_5">'F_Advance(งานอาคาร)'!$A$4:$A$29,'F_Advance(งานอาคาร)'!$F$4:$I$29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2" i="2" l="1"/>
  <c r="J12" i="2"/>
  <c r="K22" i="50" l="1"/>
  <c r="K104" i="48"/>
  <c r="K64" i="48"/>
  <c r="K70" i="46"/>
  <c r="K16" i="44"/>
  <c r="K12" i="44"/>
  <c r="K11" i="44"/>
  <c r="K179" i="29"/>
  <c r="K65" i="29"/>
  <c r="K3" i="29"/>
  <c r="K142" i="29" l="1"/>
  <c r="K85" i="29"/>
  <c r="L12" i="44" l="1"/>
  <c r="L105" i="29"/>
  <c r="L106" i="29"/>
  <c r="L107" i="29"/>
  <c r="L108" i="29"/>
  <c r="L109" i="29"/>
  <c r="L110" i="29"/>
  <c r="L111" i="29"/>
  <c r="L112" i="29"/>
  <c r="L113" i="29"/>
  <c r="L114" i="29"/>
  <c r="L115" i="29"/>
  <c r="L104" i="29"/>
  <c r="H149" i="29"/>
  <c r="F149" i="29"/>
  <c r="I149" i="29" l="1"/>
  <c r="H129" i="29"/>
  <c r="H124" i="29" l="1"/>
  <c r="H125" i="29"/>
  <c r="H126" i="29"/>
  <c r="H127" i="29"/>
  <c r="H128" i="29"/>
  <c r="H130" i="29"/>
  <c r="F124" i="29"/>
  <c r="F125" i="29"/>
  <c r="F126" i="29"/>
  <c r="F127" i="29"/>
  <c r="F128" i="29"/>
  <c r="F129" i="29"/>
  <c r="I129" i="29" s="1"/>
  <c r="F130" i="29"/>
  <c r="H123" i="29"/>
  <c r="F123" i="29"/>
  <c r="F105" i="29"/>
  <c r="I105" i="29" s="1"/>
  <c r="F106" i="29"/>
  <c r="I106" i="29" s="1"/>
  <c r="F107" i="29"/>
  <c r="I107" i="29" s="1"/>
  <c r="F108" i="29"/>
  <c r="I108" i="29" s="1"/>
  <c r="F109" i="29"/>
  <c r="I109" i="29" s="1"/>
  <c r="F110" i="29"/>
  <c r="I110" i="29" s="1"/>
  <c r="F111" i="29"/>
  <c r="I111" i="29" s="1"/>
  <c r="F112" i="29"/>
  <c r="I112" i="29" s="1"/>
  <c r="F113" i="29"/>
  <c r="I113" i="29" s="1"/>
  <c r="F114" i="29"/>
  <c r="I114" i="29" s="1"/>
  <c r="F115" i="29"/>
  <c r="I115" i="29" s="1"/>
  <c r="H120" i="29"/>
  <c r="F104" i="29"/>
  <c r="I130" i="29" l="1"/>
  <c r="I128" i="29"/>
  <c r="I127" i="29"/>
  <c r="I126" i="29"/>
  <c r="I125" i="29"/>
  <c r="I124" i="29"/>
  <c r="F139" i="29"/>
  <c r="H139" i="29"/>
  <c r="I123" i="29"/>
  <c r="F120" i="29"/>
  <c r="K120" i="29" s="1"/>
  <c r="I104" i="29"/>
  <c r="I121" i="29" s="1"/>
  <c r="H11" i="44"/>
  <c r="I11" i="44" s="1"/>
  <c r="F11" i="44"/>
  <c r="K139" i="29" l="1"/>
  <c r="I140" i="29"/>
  <c r="K140" i="29" s="1"/>
  <c r="L140" i="29" s="1"/>
  <c r="H20" i="50"/>
  <c r="G22" i="50" s="1"/>
  <c r="H22" i="50" s="1"/>
  <c r="G23" i="50" s="1"/>
  <c r="H23" i="50" s="1"/>
  <c r="F20" i="50"/>
  <c r="E22" i="50" s="1"/>
  <c r="K14" i="50"/>
  <c r="F14" i="50"/>
  <c r="F11" i="50"/>
  <c r="I11" i="50" s="1"/>
  <c r="B4" i="50"/>
  <c r="D2" i="50"/>
  <c r="B3" i="50"/>
  <c r="B2" i="50"/>
  <c r="H95" i="48"/>
  <c r="F95" i="48"/>
  <c r="H94" i="48"/>
  <c r="K93" i="48"/>
  <c r="M93" i="48" s="1"/>
  <c r="F93" i="48"/>
  <c r="I93" i="48" s="1"/>
  <c r="F92" i="48"/>
  <c r="I92" i="48" s="1"/>
  <c r="F91" i="48"/>
  <c r="I91" i="48" s="1"/>
  <c r="F89" i="48"/>
  <c r="I89" i="48" s="1"/>
  <c r="F88" i="48"/>
  <c r="I88" i="48" s="1"/>
  <c r="F87" i="48"/>
  <c r="I87" i="48" s="1"/>
  <c r="H82" i="48"/>
  <c r="F77" i="48"/>
  <c r="I77" i="48" s="1"/>
  <c r="F75" i="48"/>
  <c r="I75" i="48" s="1"/>
  <c r="F73" i="48"/>
  <c r="I73" i="48" s="1"/>
  <c r="F72" i="48"/>
  <c r="I72" i="48" s="1"/>
  <c r="F70" i="48"/>
  <c r="I70" i="48" s="1"/>
  <c r="I69" i="48"/>
  <c r="F69" i="48"/>
  <c r="F67" i="48"/>
  <c r="I67" i="48" s="1"/>
  <c r="F58" i="48"/>
  <c r="I58" i="48" s="1"/>
  <c r="F57" i="48"/>
  <c r="I57" i="48" s="1"/>
  <c r="F56" i="48"/>
  <c r="I56" i="48" s="1"/>
  <c r="F55" i="48"/>
  <c r="I55" i="48" s="1"/>
  <c r="F54" i="48"/>
  <c r="I54" i="48" s="1"/>
  <c r="F53" i="48"/>
  <c r="I53" i="48" s="1"/>
  <c r="F52" i="48"/>
  <c r="I52" i="48" s="1"/>
  <c r="F51" i="48"/>
  <c r="I51" i="48" s="1"/>
  <c r="F50" i="48"/>
  <c r="I50" i="48" s="1"/>
  <c r="F49" i="48"/>
  <c r="I49" i="48" s="1"/>
  <c r="H48" i="48"/>
  <c r="H63" i="48" s="1"/>
  <c r="F48" i="48"/>
  <c r="H39" i="48"/>
  <c r="F39" i="48"/>
  <c r="H38" i="48"/>
  <c r="I38" i="48" s="1"/>
  <c r="F37" i="48"/>
  <c r="I37" i="48" s="1"/>
  <c r="H35" i="48"/>
  <c r="I35" i="48" s="1"/>
  <c r="F35" i="48"/>
  <c r="H34" i="48"/>
  <c r="F34" i="48"/>
  <c r="H33" i="48"/>
  <c r="F33" i="48"/>
  <c r="H32" i="48"/>
  <c r="F32" i="48"/>
  <c r="F31" i="48"/>
  <c r="I31" i="48" s="1"/>
  <c r="F29" i="48"/>
  <c r="F23" i="48"/>
  <c r="I23" i="48" s="1"/>
  <c r="F22" i="48"/>
  <c r="I22" i="48" s="1"/>
  <c r="F19" i="48"/>
  <c r="I19" i="48" s="1"/>
  <c r="F18" i="48"/>
  <c r="I18" i="48" s="1"/>
  <c r="F17" i="48"/>
  <c r="I17" i="48" s="1"/>
  <c r="F16" i="48"/>
  <c r="I16" i="48" s="1"/>
  <c r="F15" i="48"/>
  <c r="I15" i="48" s="1"/>
  <c r="F14" i="48"/>
  <c r="I14" i="48" s="1"/>
  <c r="F13" i="48"/>
  <c r="I13" i="48" s="1"/>
  <c r="H11" i="48"/>
  <c r="F11" i="48"/>
  <c r="H10" i="48"/>
  <c r="F10" i="48"/>
  <c r="B4" i="48"/>
  <c r="D2" i="48"/>
  <c r="B3" i="48"/>
  <c r="B2" i="48"/>
  <c r="F63" i="48" l="1"/>
  <c r="K63" i="48" s="1"/>
  <c r="I32" i="48"/>
  <c r="I95" i="48"/>
  <c r="H25" i="48"/>
  <c r="F22" i="50"/>
  <c r="I14" i="50"/>
  <c r="I21" i="50" s="1"/>
  <c r="F44" i="48"/>
  <c r="I34" i="48"/>
  <c r="I39" i="48"/>
  <c r="I83" i="48"/>
  <c r="I10" i="48"/>
  <c r="I33" i="48"/>
  <c r="H101" i="48"/>
  <c r="I11" i="48"/>
  <c r="F82" i="48"/>
  <c r="K82" i="48" s="1"/>
  <c r="F25" i="48"/>
  <c r="I29" i="48"/>
  <c r="H44" i="48"/>
  <c r="F101" i="48"/>
  <c r="K25" i="48"/>
  <c r="I48" i="48"/>
  <c r="I64" i="48" s="1"/>
  <c r="I94" i="48"/>
  <c r="I102" i="48" s="1"/>
  <c r="K101" i="48" l="1"/>
  <c r="I22" i="50"/>
  <c r="E23" i="50"/>
  <c r="K44" i="48"/>
  <c r="I26" i="48"/>
  <c r="I45" i="48"/>
  <c r="K102" i="48" s="1"/>
  <c r="F15" i="2" s="1"/>
  <c r="K23" i="50" l="1"/>
  <c r="F23" i="50"/>
  <c r="I23" i="50" s="1"/>
  <c r="I26" i="50" s="1"/>
  <c r="F9" i="30" s="1"/>
  <c r="H248" i="47" l="1"/>
  <c r="I248" i="47" s="1"/>
  <c r="F248" i="47"/>
  <c r="H247" i="47"/>
  <c r="I247" i="47" s="1"/>
  <c r="I246" i="47"/>
  <c r="H246" i="47"/>
  <c r="F246" i="47"/>
  <c r="F245" i="47"/>
  <c r="I245" i="47" s="1"/>
  <c r="I242" i="47"/>
  <c r="F242" i="47"/>
  <c r="F241" i="47"/>
  <c r="I241" i="47" s="1"/>
  <c r="H239" i="47"/>
  <c r="H249" i="47" s="1"/>
  <c r="F239" i="47"/>
  <c r="K239" i="47" s="1"/>
  <c r="F230" i="47"/>
  <c r="I230" i="47" s="1"/>
  <c r="F227" i="47"/>
  <c r="I227" i="47" s="1"/>
  <c r="F226" i="47"/>
  <c r="I226" i="47" s="1"/>
  <c r="F225" i="47"/>
  <c r="I225" i="47" s="1"/>
  <c r="F224" i="47"/>
  <c r="I224" i="47" s="1"/>
  <c r="F223" i="47"/>
  <c r="I223" i="47" s="1"/>
  <c r="H221" i="47"/>
  <c r="H234" i="47" s="1"/>
  <c r="F221" i="47"/>
  <c r="H220" i="47"/>
  <c r="F220" i="47"/>
  <c r="H215" i="47"/>
  <c r="F211" i="47"/>
  <c r="I211" i="47" s="1"/>
  <c r="F210" i="47"/>
  <c r="I210" i="47" s="1"/>
  <c r="F208" i="47"/>
  <c r="I208" i="47" s="1"/>
  <c r="F207" i="47"/>
  <c r="I207" i="47" s="1"/>
  <c r="F205" i="47"/>
  <c r="I205" i="47" s="1"/>
  <c r="F202" i="47"/>
  <c r="F201" i="47"/>
  <c r="I201" i="47" s="1"/>
  <c r="H196" i="47"/>
  <c r="F193" i="47"/>
  <c r="I193" i="47" s="1"/>
  <c r="F192" i="47"/>
  <c r="I192" i="47" s="1"/>
  <c r="F191" i="47"/>
  <c r="I191" i="47" s="1"/>
  <c r="F190" i="47"/>
  <c r="I190" i="47" s="1"/>
  <c r="F189" i="47"/>
  <c r="I189" i="47" s="1"/>
  <c r="F188" i="47"/>
  <c r="I188" i="47" s="1"/>
  <c r="F187" i="47"/>
  <c r="I187" i="47" s="1"/>
  <c r="F186" i="47"/>
  <c r="I186" i="47" s="1"/>
  <c r="F185" i="47"/>
  <c r="I185" i="47" s="1"/>
  <c r="F184" i="47"/>
  <c r="I184" i="47" s="1"/>
  <c r="F183" i="47"/>
  <c r="I183" i="47" s="1"/>
  <c r="F182" i="47"/>
  <c r="I182" i="47" s="1"/>
  <c r="I175" i="47"/>
  <c r="H175" i="47"/>
  <c r="F175" i="47"/>
  <c r="H174" i="47"/>
  <c r="F174" i="47"/>
  <c r="H173" i="47"/>
  <c r="F173" i="47"/>
  <c r="I173" i="47" s="1"/>
  <c r="H172" i="47"/>
  <c r="F172" i="47"/>
  <c r="K175" i="47" s="1"/>
  <c r="F169" i="47"/>
  <c r="I169" i="47" s="1"/>
  <c r="F168" i="47"/>
  <c r="I168" i="47" s="1"/>
  <c r="H166" i="47"/>
  <c r="F166" i="47"/>
  <c r="F164" i="47"/>
  <c r="F177" i="47" s="1"/>
  <c r="F155" i="47"/>
  <c r="I155" i="47" s="1"/>
  <c r="F152" i="47"/>
  <c r="I152" i="47" s="1"/>
  <c r="F151" i="47"/>
  <c r="I151" i="47" s="1"/>
  <c r="F150" i="47"/>
  <c r="I150" i="47" s="1"/>
  <c r="F149" i="47"/>
  <c r="I149" i="47" s="1"/>
  <c r="F148" i="47"/>
  <c r="F147" i="47"/>
  <c r="I147" i="47" s="1"/>
  <c r="I145" i="47"/>
  <c r="H145" i="47"/>
  <c r="F145" i="47"/>
  <c r="H144" i="47"/>
  <c r="H158" i="47" s="1"/>
  <c r="F144" i="47"/>
  <c r="K145" i="47" s="1"/>
  <c r="H135" i="47"/>
  <c r="F135" i="47"/>
  <c r="I135" i="47" s="1"/>
  <c r="H132" i="47"/>
  <c r="I132" i="47" s="1"/>
  <c r="F132" i="47"/>
  <c r="H130" i="47"/>
  <c r="I130" i="47" s="1"/>
  <c r="F130" i="47"/>
  <c r="H129" i="47"/>
  <c r="I129" i="47" s="1"/>
  <c r="H128" i="47"/>
  <c r="H139" i="47" s="1"/>
  <c r="F128" i="47"/>
  <c r="I127" i="47"/>
  <c r="F127" i="47"/>
  <c r="F126" i="47"/>
  <c r="I126" i="47" s="1"/>
  <c r="I124" i="47"/>
  <c r="F124" i="47"/>
  <c r="F116" i="47"/>
  <c r="I116" i="47" s="1"/>
  <c r="I115" i="47"/>
  <c r="H115" i="47"/>
  <c r="F115" i="47"/>
  <c r="H114" i="47"/>
  <c r="F114" i="47"/>
  <c r="K107" i="47" s="1"/>
  <c r="H113" i="47"/>
  <c r="F113" i="47"/>
  <c r="H112" i="47"/>
  <c r="F112" i="47"/>
  <c r="F111" i="47"/>
  <c r="I111" i="47" s="1"/>
  <c r="H110" i="47"/>
  <c r="F110" i="47"/>
  <c r="I110" i="47" s="1"/>
  <c r="F108" i="47"/>
  <c r="I108" i="47" s="1"/>
  <c r="K106" i="47"/>
  <c r="H106" i="47"/>
  <c r="F106" i="47"/>
  <c r="I106" i="47" s="1"/>
  <c r="K105" i="47"/>
  <c r="H105" i="47"/>
  <c r="F105" i="47"/>
  <c r="F98" i="47"/>
  <c r="I98" i="47" s="1"/>
  <c r="F97" i="47"/>
  <c r="I97" i="47" s="1"/>
  <c r="H96" i="47"/>
  <c r="I96" i="47" s="1"/>
  <c r="F96" i="47"/>
  <c r="H95" i="47"/>
  <c r="I95" i="47" s="1"/>
  <c r="F95" i="47"/>
  <c r="H94" i="47"/>
  <c r="I94" i="47" s="1"/>
  <c r="F94" i="47"/>
  <c r="H93" i="47"/>
  <c r="F93" i="47"/>
  <c r="I93" i="47" s="1"/>
  <c r="F91" i="47"/>
  <c r="I91" i="47" s="1"/>
  <c r="F89" i="47"/>
  <c r="F87" i="47"/>
  <c r="I87" i="47" s="1"/>
  <c r="F78" i="47"/>
  <c r="I78" i="47" s="1"/>
  <c r="F77" i="47"/>
  <c r="I77" i="47" s="1"/>
  <c r="F76" i="47"/>
  <c r="I76" i="47" s="1"/>
  <c r="F75" i="47"/>
  <c r="I75" i="47" s="1"/>
  <c r="F74" i="47"/>
  <c r="I74" i="47" s="1"/>
  <c r="F73" i="47"/>
  <c r="I73" i="47" s="1"/>
  <c r="F72" i="47"/>
  <c r="I72" i="47" s="1"/>
  <c r="F71" i="47"/>
  <c r="I71" i="47" s="1"/>
  <c r="F70" i="47"/>
  <c r="I70" i="47" s="1"/>
  <c r="H68" i="47"/>
  <c r="I68" i="47" s="1"/>
  <c r="F68" i="47"/>
  <c r="H67" i="47"/>
  <c r="H82" i="47" s="1"/>
  <c r="F67" i="47"/>
  <c r="K126" i="47" s="1"/>
  <c r="H63" i="47"/>
  <c r="F59" i="47"/>
  <c r="I59" i="47" s="1"/>
  <c r="F58" i="47"/>
  <c r="I58" i="47" s="1"/>
  <c r="F57" i="47"/>
  <c r="I57" i="47" s="1"/>
  <c r="F56" i="47"/>
  <c r="I56" i="47" s="1"/>
  <c r="F55" i="47"/>
  <c r="I55" i="47" s="1"/>
  <c r="F54" i="47"/>
  <c r="I54" i="47" s="1"/>
  <c r="F53" i="47"/>
  <c r="I53" i="47" s="1"/>
  <c r="F52" i="47"/>
  <c r="I52" i="47" s="1"/>
  <c r="F51" i="47"/>
  <c r="I51" i="47" s="1"/>
  <c r="F50" i="47"/>
  <c r="I50" i="47" s="1"/>
  <c r="F49" i="47"/>
  <c r="I49" i="47" s="1"/>
  <c r="F48" i="47"/>
  <c r="I48" i="47" s="1"/>
  <c r="F40" i="47"/>
  <c r="I40" i="47" s="1"/>
  <c r="F39" i="47"/>
  <c r="I39" i="47" s="1"/>
  <c r="F38" i="47"/>
  <c r="I38" i="47" s="1"/>
  <c r="F37" i="47"/>
  <c r="I37" i="47" s="1"/>
  <c r="F36" i="47"/>
  <c r="K125" i="47" s="1"/>
  <c r="I34" i="47"/>
  <c r="F34" i="47"/>
  <c r="H33" i="47"/>
  <c r="I33" i="47" s="1"/>
  <c r="F33" i="47"/>
  <c r="H32" i="47"/>
  <c r="F32" i="47"/>
  <c r="H30" i="47"/>
  <c r="F30" i="47"/>
  <c r="H23" i="47"/>
  <c r="F23" i="47"/>
  <c r="F22" i="47"/>
  <c r="I22" i="47" s="1"/>
  <c r="F21" i="47"/>
  <c r="I21" i="47" s="1"/>
  <c r="F20" i="47"/>
  <c r="I20" i="47" s="1"/>
  <c r="F19" i="47"/>
  <c r="I19" i="47" s="1"/>
  <c r="F18" i="47"/>
  <c r="I18" i="47" s="1"/>
  <c r="F17" i="47"/>
  <c r="I17" i="47" s="1"/>
  <c r="F16" i="47"/>
  <c r="I16" i="47" s="1"/>
  <c r="F15" i="47"/>
  <c r="I15" i="47" s="1"/>
  <c r="F14" i="47"/>
  <c r="I14" i="47" s="1"/>
  <c r="F13" i="47"/>
  <c r="I13" i="47" s="1"/>
  <c r="H11" i="47"/>
  <c r="I11" i="47" s="1"/>
  <c r="F11" i="47"/>
  <c r="I10" i="47"/>
  <c r="H10" i="47"/>
  <c r="H25" i="47" s="1"/>
  <c r="F10" i="47"/>
  <c r="B4" i="47"/>
  <c r="D2" i="47"/>
  <c r="B3" i="47"/>
  <c r="B2" i="47"/>
  <c r="K196" i="47" l="1"/>
  <c r="K63" i="47"/>
  <c r="I23" i="47"/>
  <c r="I36" i="47"/>
  <c r="K40" i="47" s="1"/>
  <c r="I67" i="47"/>
  <c r="H101" i="47"/>
  <c r="K108" i="47"/>
  <c r="I112" i="47"/>
  <c r="H120" i="47"/>
  <c r="K120" i="47" s="1"/>
  <c r="I172" i="47"/>
  <c r="I174" i="47"/>
  <c r="F25" i="47"/>
  <c r="H44" i="47"/>
  <c r="F101" i="47"/>
  <c r="I113" i="47"/>
  <c r="I128" i="47"/>
  <c r="I140" i="47" s="1"/>
  <c r="F158" i="47"/>
  <c r="K158" i="47" s="1"/>
  <c r="H177" i="47"/>
  <c r="K177" i="47" s="1"/>
  <c r="F234" i="47"/>
  <c r="K234" i="47" s="1"/>
  <c r="F249" i="47"/>
  <c r="F44" i="47"/>
  <c r="F120" i="47"/>
  <c r="F139" i="47"/>
  <c r="K139" i="47" s="1"/>
  <c r="I166" i="47"/>
  <c r="F215" i="47"/>
  <c r="K215" i="47" s="1"/>
  <c r="I26" i="47"/>
  <c r="I83" i="47"/>
  <c r="I64" i="47"/>
  <c r="K25" i="47"/>
  <c r="L125" i="47"/>
  <c r="M125" i="47" s="1"/>
  <c r="I197" i="47"/>
  <c r="I32" i="47"/>
  <c r="I89" i="47"/>
  <c r="I102" i="47" s="1"/>
  <c r="I114" i="47"/>
  <c r="K127" i="47"/>
  <c r="K128" i="47" s="1"/>
  <c r="K129" i="47" s="1"/>
  <c r="L129" i="47" s="1"/>
  <c r="I144" i="47"/>
  <c r="I148" i="47"/>
  <c r="I164" i="47"/>
  <c r="I202" i="47"/>
  <c r="I216" i="47" s="1"/>
  <c r="I221" i="47"/>
  <c r="I239" i="47"/>
  <c r="I250" i="47" s="1"/>
  <c r="I30" i="47"/>
  <c r="F63" i="47"/>
  <c r="F82" i="47"/>
  <c r="K82" i="47" s="1"/>
  <c r="I105" i="47"/>
  <c r="I121" i="47" s="1"/>
  <c r="F196" i="47"/>
  <c r="I220" i="47"/>
  <c r="K221" i="47"/>
  <c r="K245" i="47" s="1"/>
  <c r="K246" i="47" s="1"/>
  <c r="L246" i="47" s="1"/>
  <c r="K44" i="47" l="1"/>
  <c r="G251" i="47"/>
  <c r="H251" i="47" s="1"/>
  <c r="I159" i="47"/>
  <c r="E251" i="47"/>
  <c r="F251" i="47" s="1"/>
  <c r="E252" i="47" s="1"/>
  <c r="F252" i="47" s="1"/>
  <c r="K249" i="47"/>
  <c r="I178" i="47"/>
  <c r="K101" i="47"/>
  <c r="I235" i="47"/>
  <c r="I45" i="47"/>
  <c r="G252" i="47" l="1"/>
  <c r="H252" i="47" s="1"/>
  <c r="I252" i="47" s="1"/>
  <c r="I253" i="47" s="1"/>
  <c r="F12" i="2" s="1"/>
  <c r="I251" i="47"/>
  <c r="O54" i="29"/>
  <c r="L54" i="29"/>
  <c r="M54" i="29" s="1"/>
  <c r="N54" i="29" s="1"/>
  <c r="K54" i="29"/>
  <c r="L53" i="29"/>
  <c r="M53" i="29" s="1"/>
  <c r="K53" i="29"/>
  <c r="F58" i="29"/>
  <c r="I58" i="29" s="1"/>
  <c r="L58" i="29"/>
  <c r="H100" i="29"/>
  <c r="F100" i="29"/>
  <c r="N53" i="29" l="1"/>
  <c r="P54" i="29"/>
  <c r="I100" i="29"/>
  <c r="H58" i="45" l="1"/>
  <c r="F58" i="45"/>
  <c r="I58" i="45" l="1"/>
  <c r="H71" i="45"/>
  <c r="F71" i="45"/>
  <c r="I71" i="45" s="1"/>
  <c r="H27" i="46" l="1"/>
  <c r="H48" i="46"/>
  <c r="H57" i="46"/>
  <c r="I57" i="46" s="1"/>
  <c r="F56" i="46"/>
  <c r="I56" i="46" s="1"/>
  <c r="F55" i="46"/>
  <c r="I55" i="46" s="1"/>
  <c r="F54" i="46"/>
  <c r="I54" i="46" s="1"/>
  <c r="F53" i="46"/>
  <c r="I53" i="46" s="1"/>
  <c r="F52" i="46"/>
  <c r="I52" i="46" s="1"/>
  <c r="F51" i="46"/>
  <c r="I51" i="46" s="1"/>
  <c r="F47" i="46"/>
  <c r="I47" i="46" s="1"/>
  <c r="F46" i="46"/>
  <c r="I46" i="46" s="1"/>
  <c r="F45" i="46"/>
  <c r="I45" i="46" s="1"/>
  <c r="F44" i="46"/>
  <c r="I44" i="46" s="1"/>
  <c r="I43" i="46"/>
  <c r="F43" i="46"/>
  <c r="F42" i="46"/>
  <c r="I42" i="46" s="1"/>
  <c r="F41" i="46"/>
  <c r="I41" i="46" s="1"/>
  <c r="F40" i="46"/>
  <c r="I40" i="46" s="1"/>
  <c r="F39" i="46"/>
  <c r="I39" i="46" s="1"/>
  <c r="F38" i="46"/>
  <c r="I38" i="46" s="1"/>
  <c r="F37" i="46"/>
  <c r="I37" i="46" s="1"/>
  <c r="F36" i="46"/>
  <c r="I36" i="46" s="1"/>
  <c r="F35" i="46"/>
  <c r="I35" i="46" s="1"/>
  <c r="F34" i="46"/>
  <c r="I34" i="46" s="1"/>
  <c r="F33" i="46"/>
  <c r="I33" i="46" s="1"/>
  <c r="F32" i="46"/>
  <c r="I32" i="46" s="1"/>
  <c r="F31" i="46"/>
  <c r="I31" i="46" s="1"/>
  <c r="F30" i="46"/>
  <c r="I30" i="46" s="1"/>
  <c r="I49" i="46" s="1"/>
  <c r="F25" i="46"/>
  <c r="I25" i="46" s="1"/>
  <c r="F24" i="46"/>
  <c r="I24" i="46" s="1"/>
  <c r="F23" i="46"/>
  <c r="I23" i="46" s="1"/>
  <c r="F21" i="46"/>
  <c r="I21" i="46" s="1"/>
  <c r="F20" i="46"/>
  <c r="I20" i="46" s="1"/>
  <c r="F19" i="46"/>
  <c r="I19" i="46" s="1"/>
  <c r="F18" i="46"/>
  <c r="I18" i="46" s="1"/>
  <c r="F17" i="46"/>
  <c r="I17" i="46" s="1"/>
  <c r="F16" i="46"/>
  <c r="I16" i="46" s="1"/>
  <c r="F15" i="46"/>
  <c r="I15" i="46" s="1"/>
  <c r="F14" i="46"/>
  <c r="I14" i="46" s="1"/>
  <c r="F13" i="46"/>
  <c r="I13" i="46" s="1"/>
  <c r="F12" i="46"/>
  <c r="I12" i="46" s="1"/>
  <c r="F11" i="46"/>
  <c r="I11" i="46" s="1"/>
  <c r="F10" i="46"/>
  <c r="I10" i="46" s="1"/>
  <c r="F9" i="46"/>
  <c r="I9" i="46" s="1"/>
  <c r="I28" i="46" s="1"/>
  <c r="B4" i="46"/>
  <c r="D2" i="46"/>
  <c r="B3" i="46"/>
  <c r="B2" i="46"/>
  <c r="F120" i="45"/>
  <c r="H119" i="45"/>
  <c r="F119" i="45"/>
  <c r="H118" i="45"/>
  <c r="F118" i="45"/>
  <c r="H117" i="45"/>
  <c r="F117" i="45"/>
  <c r="H116" i="45"/>
  <c r="F116" i="45"/>
  <c r="H115" i="45"/>
  <c r="F115" i="45"/>
  <c r="H114" i="45"/>
  <c r="F114" i="45"/>
  <c r="H113" i="45"/>
  <c r="F113" i="45"/>
  <c r="H112" i="45"/>
  <c r="F112" i="45"/>
  <c r="H111" i="45"/>
  <c r="F111" i="45"/>
  <c r="H110" i="45"/>
  <c r="F110" i="45"/>
  <c r="F99" i="45"/>
  <c r="H98" i="45"/>
  <c r="F98" i="45"/>
  <c r="H97" i="45"/>
  <c r="F97" i="45"/>
  <c r="H96" i="45"/>
  <c r="F96" i="45"/>
  <c r="H95" i="45"/>
  <c r="F95" i="45"/>
  <c r="H94" i="45"/>
  <c r="F94" i="45"/>
  <c r="F93" i="45"/>
  <c r="I93" i="45" s="1"/>
  <c r="H92" i="45"/>
  <c r="F92" i="45"/>
  <c r="H91" i="45"/>
  <c r="F91" i="45"/>
  <c r="F90" i="45"/>
  <c r="F83" i="45"/>
  <c r="I83" i="45" s="1"/>
  <c r="H82" i="45"/>
  <c r="F82" i="45"/>
  <c r="H81" i="45"/>
  <c r="F81" i="45"/>
  <c r="H80" i="45"/>
  <c r="F80" i="45"/>
  <c r="F79" i="45"/>
  <c r="I79" i="45" s="1"/>
  <c r="F78" i="45"/>
  <c r="I78" i="45" s="1"/>
  <c r="F77" i="45"/>
  <c r="I77" i="45" s="1"/>
  <c r="H76" i="45"/>
  <c r="F76" i="45"/>
  <c r="F73" i="45"/>
  <c r="H72" i="45"/>
  <c r="F72" i="45"/>
  <c r="H70" i="45"/>
  <c r="F70" i="45"/>
  <c r="H65" i="45"/>
  <c r="F65" i="45"/>
  <c r="H64" i="45"/>
  <c r="F64" i="45"/>
  <c r="H63" i="45"/>
  <c r="F63" i="45"/>
  <c r="H62" i="45"/>
  <c r="F62" i="45"/>
  <c r="H61" i="45"/>
  <c r="F61" i="45"/>
  <c r="F57" i="45"/>
  <c r="I57" i="45" s="1"/>
  <c r="F56" i="45"/>
  <c r="I56" i="45" s="1"/>
  <c r="F55" i="45"/>
  <c r="I55" i="45" s="1"/>
  <c r="H54" i="45"/>
  <c r="F54" i="45"/>
  <c r="F51" i="45"/>
  <c r="I51" i="45" s="1"/>
  <c r="F50" i="45"/>
  <c r="I50" i="45" s="1"/>
  <c r="H49" i="45"/>
  <c r="F49" i="45"/>
  <c r="H44" i="45"/>
  <c r="F44" i="45"/>
  <c r="F43" i="45"/>
  <c r="I43" i="45" s="1"/>
  <c r="F42" i="45"/>
  <c r="I42" i="45" s="1"/>
  <c r="F41" i="45"/>
  <c r="I41" i="45" s="1"/>
  <c r="F40" i="45"/>
  <c r="I40" i="45" s="1"/>
  <c r="F39" i="45"/>
  <c r="I39" i="45" s="1"/>
  <c r="F38" i="45"/>
  <c r="I38" i="45" s="1"/>
  <c r="F37" i="45"/>
  <c r="I37" i="45" s="1"/>
  <c r="F36" i="45"/>
  <c r="H35" i="45"/>
  <c r="F35" i="45"/>
  <c r="H33" i="45"/>
  <c r="F33" i="45"/>
  <c r="H32" i="45"/>
  <c r="F32" i="45"/>
  <c r="H30" i="45"/>
  <c r="F30" i="45"/>
  <c r="H29" i="45"/>
  <c r="F29" i="45"/>
  <c r="H24" i="45"/>
  <c r="F24" i="45"/>
  <c r="H23" i="45"/>
  <c r="F23" i="45"/>
  <c r="H22" i="45"/>
  <c r="F22" i="45"/>
  <c r="H21" i="45"/>
  <c r="F21" i="45"/>
  <c r="H20" i="45"/>
  <c r="F20" i="45"/>
  <c r="H19" i="45"/>
  <c r="F19" i="45"/>
  <c r="H18" i="45"/>
  <c r="F18" i="45"/>
  <c r="H16" i="45"/>
  <c r="F16" i="45"/>
  <c r="H14" i="45"/>
  <c r="F14" i="45"/>
  <c r="H12" i="45"/>
  <c r="F12" i="45"/>
  <c r="H10" i="45"/>
  <c r="F10" i="45"/>
  <c r="I44" i="45" l="1"/>
  <c r="H122" i="45"/>
  <c r="H67" i="45"/>
  <c r="H107" i="45"/>
  <c r="H69" i="46"/>
  <c r="F27" i="46"/>
  <c r="F48" i="46"/>
  <c r="K48" i="46" s="1"/>
  <c r="I12" i="45"/>
  <c r="I21" i="45"/>
  <c r="I29" i="45"/>
  <c r="F67" i="45"/>
  <c r="H87" i="45"/>
  <c r="I73" i="45"/>
  <c r="F87" i="45"/>
  <c r="I99" i="45"/>
  <c r="F107" i="45"/>
  <c r="I120" i="45"/>
  <c r="F122" i="45"/>
  <c r="I70" i="46"/>
  <c r="F14" i="2" s="1"/>
  <c r="F69" i="46"/>
  <c r="I70" i="45"/>
  <c r="I61" i="45"/>
  <c r="I80" i="45"/>
  <c r="I95" i="45"/>
  <c r="I118" i="45"/>
  <c r="M43" i="45"/>
  <c r="I96" i="45"/>
  <c r="I24" i="45"/>
  <c r="I63" i="45"/>
  <c r="K27" i="46"/>
  <c r="F26" i="45"/>
  <c r="I14" i="45"/>
  <c r="I18" i="45"/>
  <c r="I20" i="45"/>
  <c r="H46" i="45"/>
  <c r="I81" i="45"/>
  <c r="I92" i="45"/>
  <c r="I111" i="45"/>
  <c r="I113" i="45"/>
  <c r="I115" i="45"/>
  <c r="I117" i="45"/>
  <c r="I119" i="45"/>
  <c r="I97" i="45"/>
  <c r="I33" i="45"/>
  <c r="I19" i="45"/>
  <c r="I35" i="45"/>
  <c r="I72" i="45"/>
  <c r="I116" i="45"/>
  <c r="H26" i="45"/>
  <c r="I16" i="45"/>
  <c r="I22" i="45"/>
  <c r="I65" i="45"/>
  <c r="I82" i="45"/>
  <c r="I98" i="45"/>
  <c r="I112" i="45"/>
  <c r="I114" i="45"/>
  <c r="F46" i="45"/>
  <c r="I23" i="45"/>
  <c r="I62" i="45"/>
  <c r="I64" i="45"/>
  <c r="I32" i="45"/>
  <c r="I94" i="45"/>
  <c r="I36" i="45"/>
  <c r="I54" i="45"/>
  <c r="I91" i="45"/>
  <c r="I10" i="45"/>
  <c r="I30" i="45"/>
  <c r="I49" i="45"/>
  <c r="I76" i="45"/>
  <c r="I90" i="45"/>
  <c r="I110" i="45"/>
  <c r="K26" i="45" l="1"/>
  <c r="I68" i="45"/>
  <c r="I123" i="45"/>
  <c r="I88" i="45"/>
  <c r="I108" i="45"/>
  <c r="M108" i="45" s="1"/>
  <c r="K107" i="45"/>
  <c r="K46" i="45"/>
  <c r="K87" i="45"/>
  <c r="I47" i="45"/>
  <c r="K69" i="46"/>
  <c r="N70" i="46" s="1"/>
  <c r="I27" i="45"/>
  <c r="M88" i="45"/>
  <c r="A167" i="45" l="1"/>
  <c r="B4" i="45"/>
  <c r="D2" i="45"/>
  <c r="B3" i="45"/>
  <c r="B2" i="45"/>
  <c r="K170" i="45" l="1"/>
  <c r="K60" i="29" l="1"/>
  <c r="F60" i="29" l="1"/>
  <c r="I60" i="29" s="1"/>
  <c r="H59" i="29"/>
  <c r="F59" i="29"/>
  <c r="H47" i="29"/>
  <c r="F47" i="29"/>
  <c r="K56" i="29"/>
  <c r="H56" i="29"/>
  <c r="F56" i="29"/>
  <c r="I56" i="29" l="1"/>
  <c r="K7" i="45"/>
  <c r="I59" i="29"/>
  <c r="I47" i="29"/>
  <c r="H53" i="29" l="1"/>
  <c r="F53" i="29"/>
  <c r="H54" i="29"/>
  <c r="F54" i="29"/>
  <c r="C52" i="29"/>
  <c r="H57" i="29"/>
  <c r="F57" i="29"/>
  <c r="K57" i="29"/>
  <c r="I57" i="29" l="1"/>
  <c r="I53" i="29"/>
  <c r="I54" i="29"/>
  <c r="H52" i="29" l="1"/>
  <c r="F52" i="29"/>
  <c r="C49" i="29"/>
  <c r="H49" i="29" s="1"/>
  <c r="H48" i="29"/>
  <c r="F48" i="29"/>
  <c r="C50" i="29"/>
  <c r="F50" i="29" s="1"/>
  <c r="H50" i="29"/>
  <c r="H51" i="29"/>
  <c r="F51" i="29"/>
  <c r="I51" i="29" l="1"/>
  <c r="I50" i="29"/>
  <c r="I48" i="29"/>
  <c r="H63" i="29"/>
  <c r="F49" i="29"/>
  <c r="F63" i="29" s="1"/>
  <c r="K59" i="29"/>
  <c r="I52" i="29"/>
  <c r="I49" i="29" l="1"/>
  <c r="I64" i="29"/>
  <c r="H41" i="29"/>
  <c r="F41" i="29"/>
  <c r="H40" i="29"/>
  <c r="F40" i="29"/>
  <c r="H39" i="29"/>
  <c r="F39" i="29"/>
  <c r="H38" i="29"/>
  <c r="F38" i="29"/>
  <c r="H36" i="29"/>
  <c r="F36" i="29"/>
  <c r="H35" i="29"/>
  <c r="F35" i="29"/>
  <c r="H34" i="29"/>
  <c r="F34" i="29"/>
  <c r="H33" i="29"/>
  <c r="F33" i="29"/>
  <c r="H32" i="29"/>
  <c r="F32" i="29"/>
  <c r="H31" i="29"/>
  <c r="F31" i="29"/>
  <c r="H29" i="29"/>
  <c r="F29" i="29"/>
  <c r="H28" i="29"/>
  <c r="F28" i="29"/>
  <c r="F20" i="29"/>
  <c r="F21" i="29"/>
  <c r="F22" i="29"/>
  <c r="F23" i="29"/>
  <c r="H20" i="29"/>
  <c r="H21" i="29"/>
  <c r="H22" i="29"/>
  <c r="H23" i="29"/>
  <c r="H19" i="29"/>
  <c r="F19" i="29"/>
  <c r="F15" i="29"/>
  <c r="I15" i="29" s="1"/>
  <c r="E12" i="29"/>
  <c r="F12" i="29" s="1"/>
  <c r="I12" i="29" s="1"/>
  <c r="H16" i="29"/>
  <c r="F16" i="29"/>
  <c r="I28" i="29" l="1"/>
  <c r="I33" i="29"/>
  <c r="I38" i="29"/>
  <c r="I40" i="29"/>
  <c r="I19" i="29"/>
  <c r="I16" i="29"/>
  <c r="I20" i="29"/>
  <c r="I36" i="29"/>
  <c r="I41" i="29"/>
  <c r="I29" i="29"/>
  <c r="I39" i="29"/>
  <c r="I35" i="29"/>
  <c r="I34" i="29"/>
  <c r="I32" i="29"/>
  <c r="I31" i="29"/>
  <c r="I23" i="29"/>
  <c r="I22" i="29"/>
  <c r="I21" i="29"/>
  <c r="H17" i="29"/>
  <c r="F17" i="29"/>
  <c r="H10" i="29"/>
  <c r="F10" i="29"/>
  <c r="H13" i="29"/>
  <c r="I13" i="29" s="1"/>
  <c r="F11" i="29"/>
  <c r="I11" i="29" s="1"/>
  <c r="F14" i="29"/>
  <c r="I14" i="29" s="1"/>
  <c r="I17" i="29" l="1"/>
  <c r="I10" i="29"/>
  <c r="H25" i="29"/>
  <c r="L9" i="29"/>
  <c r="F25" i="29"/>
  <c r="H44" i="29"/>
  <c r="F44" i="29"/>
  <c r="K44" i="29" l="1"/>
  <c r="K63" i="29"/>
  <c r="I45" i="29"/>
  <c r="K25" i="29"/>
  <c r="I26" i="29"/>
  <c r="A49" i="44" l="1"/>
  <c r="F16" i="44"/>
  <c r="F15" i="44"/>
  <c r="I15" i="44" s="1"/>
  <c r="H14" i="44"/>
  <c r="F14" i="44"/>
  <c r="F13" i="44"/>
  <c r="F12" i="44"/>
  <c r="H10" i="44"/>
  <c r="F10" i="44"/>
  <c r="H9" i="44"/>
  <c r="I9" i="44" s="1"/>
  <c r="F9" i="44"/>
  <c r="B4" i="44"/>
  <c r="D2" i="44"/>
  <c r="B3" i="44"/>
  <c r="B2" i="44"/>
  <c r="I10" i="44" l="1"/>
  <c r="I13" i="44"/>
  <c r="F23" i="44"/>
  <c r="I16" i="44"/>
  <c r="H23" i="44"/>
  <c r="I12" i="44"/>
  <c r="I14" i="44"/>
  <c r="H164" i="29"/>
  <c r="F164" i="29"/>
  <c r="H163" i="29"/>
  <c r="F163" i="29"/>
  <c r="F161" i="29"/>
  <c r="H153" i="29"/>
  <c r="F153" i="29"/>
  <c r="F152" i="29"/>
  <c r="I152" i="29" s="1"/>
  <c r="H143" i="29"/>
  <c r="H144" i="29"/>
  <c r="H145" i="29"/>
  <c r="H146" i="29"/>
  <c r="F143" i="29"/>
  <c r="F144" i="29"/>
  <c r="F145" i="29"/>
  <c r="F146" i="29"/>
  <c r="F147" i="29"/>
  <c r="I147" i="29" s="1"/>
  <c r="H142" i="29"/>
  <c r="F142" i="29"/>
  <c r="H96" i="29"/>
  <c r="E95" i="29"/>
  <c r="H95" i="29"/>
  <c r="L66" i="29"/>
  <c r="I163" i="29" l="1"/>
  <c r="I161" i="29"/>
  <c r="I164" i="29"/>
  <c r="K23" i="44"/>
  <c r="I24" i="44"/>
  <c r="F13" i="2" s="1"/>
  <c r="K52" i="44"/>
  <c r="I153" i="29"/>
  <c r="I146" i="29"/>
  <c r="I145" i="29"/>
  <c r="I144" i="29"/>
  <c r="I143" i="29"/>
  <c r="I142" i="29"/>
  <c r="H94" i="29" l="1"/>
  <c r="H92" i="29"/>
  <c r="H93" i="29"/>
  <c r="F92" i="29"/>
  <c r="F93" i="29"/>
  <c r="F94" i="29"/>
  <c r="I94" i="29" s="1"/>
  <c r="F95" i="29"/>
  <c r="I95" i="29" s="1"/>
  <c r="F96" i="29"/>
  <c r="I96" i="29" s="1"/>
  <c r="F97" i="29"/>
  <c r="I97" i="29" s="1"/>
  <c r="H91" i="29"/>
  <c r="I92" i="29" l="1"/>
  <c r="I93" i="29"/>
  <c r="F91" i="29"/>
  <c r="I91" i="29" s="1"/>
  <c r="K91" i="29"/>
  <c r="L91" i="29" s="1"/>
  <c r="H87" i="29"/>
  <c r="H88" i="29"/>
  <c r="F88" i="29"/>
  <c r="F87" i="29"/>
  <c r="H86" i="29"/>
  <c r="F86" i="29"/>
  <c r="H85" i="29"/>
  <c r="F85" i="29"/>
  <c r="F69" i="29"/>
  <c r="I69" i="29" s="1"/>
  <c r="H68" i="29"/>
  <c r="F68" i="29"/>
  <c r="H67" i="29"/>
  <c r="F67" i="29"/>
  <c r="H66" i="29"/>
  <c r="F66" i="29"/>
  <c r="H101" i="29" l="1"/>
  <c r="H82" i="29"/>
  <c r="I88" i="29"/>
  <c r="I86" i="29"/>
  <c r="I87" i="29"/>
  <c r="F82" i="29"/>
  <c r="K82" i="29" s="1"/>
  <c r="I85" i="29"/>
  <c r="I66" i="29"/>
  <c r="I68" i="29"/>
  <c r="I67" i="29"/>
  <c r="I83" i="29" l="1"/>
  <c r="F148" i="29"/>
  <c r="I148" i="29" s="1"/>
  <c r="F99" i="29"/>
  <c r="I99" i="29" s="1"/>
  <c r="F98" i="29"/>
  <c r="H162" i="29"/>
  <c r="H169" i="29" s="1"/>
  <c r="F162" i="29"/>
  <c r="F169" i="29" s="1"/>
  <c r="K169" i="29" l="1"/>
  <c r="I98" i="29"/>
  <c r="I102" i="29" s="1"/>
  <c r="F101" i="29"/>
  <c r="K176" i="29"/>
  <c r="I162" i="29"/>
  <c r="I170" i="29" s="1"/>
  <c r="I30" i="38"/>
  <c r="F29" i="38"/>
  <c r="F154" i="29" l="1"/>
  <c r="I154" i="29" s="1"/>
  <c r="F158" i="29" l="1"/>
  <c r="E172" i="29" s="1"/>
  <c r="I159" i="29"/>
  <c r="K170" i="29" s="1"/>
  <c r="L170" i="29" s="1"/>
  <c r="H37" i="36"/>
  <c r="F37" i="36"/>
  <c r="I37" i="36" s="1"/>
  <c r="H36" i="36"/>
  <c r="F36" i="36"/>
  <c r="H35" i="36"/>
  <c r="F35" i="36"/>
  <c r="I35" i="36" s="1"/>
  <c r="H34" i="36"/>
  <c r="F34" i="36"/>
  <c r="H33" i="36"/>
  <c r="F33" i="36"/>
  <c r="I33" i="36" s="1"/>
  <c r="H32" i="36"/>
  <c r="F32" i="36"/>
  <c r="H31" i="36"/>
  <c r="F31" i="36"/>
  <c r="H30" i="36"/>
  <c r="F30" i="36"/>
  <c r="F24" i="36"/>
  <c r="I24" i="36" s="1"/>
  <c r="H23" i="36"/>
  <c r="F23" i="36"/>
  <c r="I23" i="36" s="1"/>
  <c r="H22" i="36"/>
  <c r="I22" i="36" s="1"/>
  <c r="H21" i="36"/>
  <c r="I21" i="36" s="1"/>
  <c r="H20" i="36"/>
  <c r="F20" i="36"/>
  <c r="H19" i="36"/>
  <c r="F19" i="36"/>
  <c r="H18" i="36"/>
  <c r="F18" i="36"/>
  <c r="I18" i="36" s="1"/>
  <c r="H17" i="36"/>
  <c r="F17" i="36"/>
  <c r="I17" i="36" s="1"/>
  <c r="H16" i="36"/>
  <c r="F16" i="36"/>
  <c r="H15" i="36"/>
  <c r="F15" i="36"/>
  <c r="I15" i="36" s="1"/>
  <c r="H14" i="36"/>
  <c r="F14" i="36"/>
  <c r="H13" i="36"/>
  <c r="F13" i="36"/>
  <c r="I13" i="36" s="1"/>
  <c r="H12" i="36"/>
  <c r="F12" i="36"/>
  <c r="H11" i="36"/>
  <c r="F11" i="36"/>
  <c r="I11" i="36" s="1"/>
  <c r="I12" i="36" l="1"/>
  <c r="I27" i="36" s="1"/>
  <c r="I31" i="36"/>
  <c r="I14" i="36"/>
  <c r="I32" i="36"/>
  <c r="I16" i="36"/>
  <c r="I20" i="36"/>
  <c r="I30" i="36"/>
  <c r="I48" i="36" s="1"/>
  <c r="I19" i="36"/>
  <c r="I34" i="36"/>
  <c r="I36" i="36"/>
  <c r="H7" i="2"/>
  <c r="A1" i="2"/>
  <c r="B3" i="41"/>
  <c r="B2" i="40"/>
  <c r="B2" i="38"/>
  <c r="B2" i="36"/>
  <c r="B2" i="39"/>
  <c r="B2" i="37"/>
  <c r="B2" i="30"/>
  <c r="B2" i="29"/>
  <c r="AA18" i="2" l="1"/>
  <c r="N21" i="2" l="1"/>
  <c r="H27" i="39" l="1"/>
  <c r="H26" i="39"/>
  <c r="H25" i="39"/>
  <c r="H24" i="39"/>
  <c r="H18" i="39"/>
  <c r="H17" i="39"/>
  <c r="H16" i="39"/>
  <c r="H15" i="39"/>
  <c r="H14" i="39"/>
  <c r="H26" i="36"/>
  <c r="F13" i="37"/>
  <c r="I13" i="37" s="1"/>
  <c r="F12" i="37"/>
  <c r="I12" i="37" s="1"/>
  <c r="F11" i="37"/>
  <c r="I11" i="37" s="1"/>
  <c r="F10" i="37"/>
  <c r="I10" i="37" s="1"/>
  <c r="F9" i="37"/>
  <c r="I9" i="37" s="1"/>
  <c r="F28" i="39"/>
  <c r="H28" i="39"/>
  <c r="I28" i="39" s="1"/>
  <c r="F27" i="39"/>
  <c r="F26" i="39"/>
  <c r="F25" i="39"/>
  <c r="I25" i="39" s="1"/>
  <c r="F24" i="39"/>
  <c r="H23" i="39"/>
  <c r="F23" i="39"/>
  <c r="H22" i="39"/>
  <c r="F22" i="39"/>
  <c r="H21" i="39"/>
  <c r="F21" i="39"/>
  <c r="H20" i="39"/>
  <c r="F20" i="39"/>
  <c r="H19" i="39"/>
  <c r="F19" i="39"/>
  <c r="F18" i="39"/>
  <c r="I18" i="39" s="1"/>
  <c r="F17" i="39"/>
  <c r="I17" i="39" s="1"/>
  <c r="F16" i="39"/>
  <c r="I16" i="39" s="1"/>
  <c r="F15" i="39"/>
  <c r="F14" i="39"/>
  <c r="I14" i="39" s="1"/>
  <c r="H13" i="39"/>
  <c r="H12" i="39"/>
  <c r="H11" i="39"/>
  <c r="H10" i="39"/>
  <c r="F13" i="39"/>
  <c r="I13" i="39" s="1"/>
  <c r="F12" i="39"/>
  <c r="I12" i="39" s="1"/>
  <c r="F11" i="39"/>
  <c r="I11" i="39" s="1"/>
  <c r="F10" i="39"/>
  <c r="I10" i="39" s="1"/>
  <c r="Q22" i="2"/>
  <c r="Q21" i="2"/>
  <c r="I24" i="39" l="1"/>
  <c r="F26" i="36"/>
  <c r="I26" i="39"/>
  <c r="I15" i="39"/>
  <c r="H29" i="39"/>
  <c r="I20" i="39"/>
  <c r="F29" i="39"/>
  <c r="I21" i="39"/>
  <c r="I23" i="39"/>
  <c r="I27" i="39"/>
  <c r="I19" i="39"/>
  <c r="I22" i="39"/>
  <c r="K19" i="2"/>
  <c r="AB18" i="2" s="1"/>
  <c r="D5" i="23"/>
  <c r="H6" i="23"/>
  <c r="D6" i="23"/>
  <c r="D7" i="23"/>
  <c r="H8" i="23"/>
  <c r="C6" i="41"/>
  <c r="C5" i="38"/>
  <c r="C5" i="36"/>
  <c r="C5" i="40"/>
  <c r="C5" i="39"/>
  <c r="D5" i="30"/>
  <c r="C5" i="37"/>
  <c r="E5" i="41"/>
  <c r="E27" i="41" s="1"/>
  <c r="F4" i="38"/>
  <c r="F4" i="36"/>
  <c r="F4" i="40"/>
  <c r="F4" i="39"/>
  <c r="F4" i="37"/>
  <c r="D5" i="2"/>
  <c r="B5" i="41"/>
  <c r="D4" i="41"/>
  <c r="B4" i="41"/>
  <c r="H29" i="40"/>
  <c r="B4" i="40"/>
  <c r="D3" i="40"/>
  <c r="B3" i="40"/>
  <c r="B4" i="39"/>
  <c r="D3" i="39"/>
  <c r="B3" i="39"/>
  <c r="B4" i="38"/>
  <c r="D3" i="38"/>
  <c r="B3" i="38"/>
  <c r="B4" i="37"/>
  <c r="D3" i="37"/>
  <c r="B3" i="37"/>
  <c r="H47" i="36"/>
  <c r="B4" i="36"/>
  <c r="D3" i="36"/>
  <c r="B3" i="36"/>
  <c r="D2" i="29"/>
  <c r="B4" i="29"/>
  <c r="B3" i="29"/>
  <c r="E4" i="30"/>
  <c r="B4" i="30"/>
  <c r="B3" i="30"/>
  <c r="E4" i="2"/>
  <c r="B4" i="2"/>
  <c r="B3" i="2"/>
  <c r="F172" i="29" l="1"/>
  <c r="E174" i="29"/>
  <c r="F174" i="29" s="1"/>
  <c r="A202" i="29"/>
  <c r="Z21" i="2"/>
  <c r="Z22" i="2"/>
  <c r="AA22" i="2"/>
  <c r="AA21" i="2"/>
  <c r="AB21" i="2"/>
  <c r="AB22" i="2"/>
  <c r="X18" i="2"/>
  <c r="S18" i="2"/>
  <c r="T21" i="2" s="1"/>
  <c r="F47" i="36"/>
  <c r="K47" i="36" s="1"/>
  <c r="I30" i="39"/>
  <c r="H29" i="37"/>
  <c r="H29" i="38"/>
  <c r="I30" i="40"/>
  <c r="F29" i="40"/>
  <c r="K29" i="40" s="1"/>
  <c r="K29" i="39"/>
  <c r="F29" i="37"/>
  <c r="K49" i="36"/>
  <c r="K26" i="36"/>
  <c r="H158" i="29"/>
  <c r="G172" i="29" s="1"/>
  <c r="G174" i="29" l="1"/>
  <c r="H174" i="29" s="1"/>
  <c r="H172" i="29"/>
  <c r="I172" i="29" s="1"/>
  <c r="K172" i="29"/>
  <c r="W21" i="2"/>
  <c r="W22" i="2"/>
  <c r="V21" i="2"/>
  <c r="V22" i="2"/>
  <c r="X21" i="2"/>
  <c r="X22" i="2"/>
  <c r="S21" i="2"/>
  <c r="R22" i="2"/>
  <c r="T22" i="2"/>
  <c r="R21" i="2"/>
  <c r="S22" i="2"/>
  <c r="K29" i="37"/>
  <c r="I30" i="37"/>
  <c r="K29" i="38"/>
  <c r="F21" i="30"/>
  <c r="H21" i="30" s="1"/>
  <c r="H23" i="30" s="1"/>
  <c r="C12" i="19" s="1"/>
  <c r="K158" i="29"/>
  <c r="K101" i="29"/>
  <c r="K174" i="29" l="1"/>
  <c r="I174" i="29"/>
  <c r="I177" i="29" s="1"/>
  <c r="K205" i="29"/>
  <c r="L21" i="2"/>
  <c r="L22" i="2"/>
  <c r="F16" i="26"/>
  <c r="B15" i="26"/>
  <c r="D15" i="26" s="1"/>
  <c r="E15" i="26" s="1"/>
  <c r="B3" i="26"/>
  <c r="D3" i="26" s="1"/>
  <c r="E3" i="26" s="1"/>
  <c r="D10" i="26"/>
  <c r="E10" i="26" s="1"/>
  <c r="D6" i="26"/>
  <c r="E6" i="26" s="1"/>
  <c r="C16" i="26"/>
  <c r="B14" i="26"/>
  <c r="D14" i="26" s="1"/>
  <c r="E14" i="26" s="1"/>
  <c r="B13" i="26"/>
  <c r="D13" i="26" s="1"/>
  <c r="E13" i="26" s="1"/>
  <c r="B12" i="26"/>
  <c r="D12" i="26" s="1"/>
  <c r="E12" i="26" s="1"/>
  <c r="B11" i="26"/>
  <c r="D11" i="26" s="1"/>
  <c r="E11" i="26" s="1"/>
  <c r="B10" i="26"/>
  <c r="B9" i="26"/>
  <c r="D9" i="26" s="1"/>
  <c r="E9" i="26" s="1"/>
  <c r="B8" i="26"/>
  <c r="D8" i="26" s="1"/>
  <c r="E8" i="26" s="1"/>
  <c r="B7" i="26"/>
  <c r="D7" i="26" s="1"/>
  <c r="E7" i="26" s="1"/>
  <c r="B6" i="26"/>
  <c r="B5" i="26"/>
  <c r="D5" i="26" s="1"/>
  <c r="E5" i="26" s="1"/>
  <c r="B4" i="26"/>
  <c r="D4" i="26" s="1"/>
  <c r="E4" i="26" s="1"/>
  <c r="J30" i="23"/>
  <c r="J31" i="23"/>
  <c r="K31" i="23" s="1"/>
  <c r="F9" i="2" l="1"/>
  <c r="J10" i="2" s="1"/>
  <c r="K10" i="2" s="1"/>
  <c r="K7" i="29"/>
  <c r="E16" i="26"/>
  <c r="B16" i="26"/>
  <c r="D16" i="26" s="1"/>
  <c r="O20" i="2"/>
  <c r="K33" i="23"/>
  <c r="K34" i="23"/>
  <c r="K28" i="23"/>
  <c r="K30" i="23" l="1"/>
  <c r="K29" i="23"/>
  <c r="K26" i="23"/>
  <c r="K25" i="23"/>
  <c r="K22" i="23"/>
  <c r="K21" i="23"/>
  <c r="K20" i="23"/>
  <c r="K19" i="23"/>
  <c r="B26" i="19"/>
  <c r="K32" i="23" l="1"/>
  <c r="K23" i="23"/>
  <c r="G124" i="45"/>
  <c r="H124" i="45" s="1"/>
  <c r="G125" i="45" l="1"/>
  <c r="H125" i="45" s="1"/>
  <c r="K67" i="45"/>
  <c r="M68" i="45" s="1"/>
  <c r="E124" i="45"/>
  <c r="K124" i="45" s="1"/>
  <c r="F124" i="45" l="1"/>
  <c r="I124" i="45" s="1"/>
  <c r="E125" i="45"/>
  <c r="F125" i="45" s="1"/>
  <c r="I125" i="45" l="1"/>
  <c r="I128" i="45" s="1"/>
  <c r="F10" i="2" s="1"/>
  <c r="K125" i="45"/>
  <c r="J15" i="2" l="1"/>
  <c r="K15" i="2" s="1"/>
  <c r="L15" i="2" s="1"/>
  <c r="F17" i="2"/>
  <c r="N20" i="2"/>
  <c r="O21" i="2" s="1"/>
  <c r="O22" i="2" s="1"/>
  <c r="G17" i="2" s="1"/>
  <c r="H17" i="2" l="1"/>
  <c r="H24" i="2" l="1"/>
  <c r="C11" i="19" s="1"/>
  <c r="C24" i="19" s="1"/>
  <c r="E25" i="19" s="1"/>
  <c r="F25" i="19" s="1"/>
  <c r="G25" i="19" s="1"/>
  <c r="J17" i="2"/>
</calcChain>
</file>

<file path=xl/comments1.xml><?xml version="1.0" encoding="utf-8"?>
<comments xmlns="http://schemas.openxmlformats.org/spreadsheetml/2006/main">
  <authors>
    <author>Corporate Edition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พิมพ์ตัวเลขจำนวนหน้าเลย</t>
        </r>
      </text>
    </comment>
  </commentList>
</comments>
</file>

<file path=xl/comments2.xml><?xml version="1.0" encoding="utf-8"?>
<comments xmlns="http://schemas.openxmlformats.org/spreadsheetml/2006/main">
  <authors>
    <author>Corporate Edition</author>
  </authors>
  <commentList>
    <comment ref="G8" authorId="0" shapeId="0">
      <text>
        <r>
          <rPr>
            <sz val="9"/>
            <color indexed="81"/>
            <rFont val="Tahoma"/>
            <family val="2"/>
          </rPr>
          <t xml:space="preserve">กรณี : งานทาง ให้เลือกพื้นที่ ฝนตกชุก1,2
</t>
        </r>
      </text>
    </comment>
  </commentList>
</comments>
</file>

<file path=xl/sharedStrings.xml><?xml version="1.0" encoding="utf-8"?>
<sst xmlns="http://schemas.openxmlformats.org/spreadsheetml/2006/main" count="2094" uniqueCount="714">
  <si>
    <t>ลำดับที่</t>
  </si>
  <si>
    <t>รายการ</t>
  </si>
  <si>
    <t>จำนวน</t>
  </si>
  <si>
    <t>หน่วย</t>
  </si>
  <si>
    <t>ราคาหน่วยละ</t>
  </si>
  <si>
    <t>จำนวนเงิน</t>
  </si>
  <si>
    <t>ที่</t>
  </si>
  <si>
    <t>FACTOR F</t>
  </si>
  <si>
    <t>หมายเหตุ</t>
  </si>
  <si>
    <t xml:space="preserve"> </t>
  </si>
  <si>
    <t xml:space="preserve">   </t>
  </si>
  <si>
    <t>ค่างานต้นทุน</t>
  </si>
  <si>
    <t>เงื่อนไขการใช้ตาราง Factor   F</t>
  </si>
  <si>
    <t>FACTOR  F</t>
  </si>
  <si>
    <t>แบบเลขที่</t>
  </si>
  <si>
    <t xml:space="preserve">เงินประกันผลงานหัก                                </t>
  </si>
  <si>
    <t xml:space="preserve">ดอกเบี้ยเงินกู้                    </t>
  </si>
  <si>
    <t xml:space="preserve">VAT                                                           </t>
  </si>
  <si>
    <t>รวม</t>
  </si>
  <si>
    <t>งาน</t>
  </si>
  <si>
    <t>สรุปราคา</t>
  </si>
  <si>
    <t>ค่างาน</t>
  </si>
  <si>
    <t>ค่าใช้จ่ายพิเศษ</t>
  </si>
  <si>
    <t>ราคารวม วัสดุ + แรงงาน</t>
  </si>
  <si>
    <t xml:space="preserve">เงินล่วงหน้าจ่าย  </t>
  </si>
  <si>
    <t>(ค่าใช้จ่ายพิเศษตามข้อกำหนดและค่าใช้จ่ายอื่นที่จำเป็นต้องมี)</t>
  </si>
  <si>
    <t xml:space="preserve">                                                                     หน้าที่    11</t>
  </si>
  <si>
    <t>รายการค่าใช้จ่าย</t>
  </si>
  <si>
    <t>ราคาต่อหน่วย</t>
  </si>
  <si>
    <t>ราคารวม</t>
  </si>
  <si>
    <t>งานเจาะสำรวจดิน</t>
  </si>
  <si>
    <t>หลุม</t>
  </si>
  <si>
    <t>เดือน</t>
  </si>
  <si>
    <t>เที่ยว</t>
  </si>
  <si>
    <t>ไมล์</t>
  </si>
  <si>
    <t>รวมค่าใช้จ่าย</t>
  </si>
  <si>
    <t>ค่าภาษีมูลค่าเพิ่ม</t>
  </si>
  <si>
    <t>1. เหตุผลและความจำเป็นที่ต้องมีค่าใช้จ่ายพิเศษตามข้อกำหนดฯ รายการนี้</t>
  </si>
  <si>
    <t>2. รายละเอียดการคำนวณ</t>
  </si>
  <si>
    <t>Advance</t>
  </si>
  <si>
    <t>BUDJET</t>
  </si>
  <si>
    <t xml:space="preserve"> แบบแสดงการคำนวณและเหตุผลความจำเป็น</t>
  </si>
  <si>
    <t>สำหรับค่าใช้จ่ายพิเศษตามข้อกำหนดฯ</t>
  </si>
  <si>
    <t xml:space="preserve">     เป็นงานก่อสร้างที่อยู่บนเกาะ ห่างจากฝั่งประมาณ 20 ไมล์ทะเล  ต้องลำเลียงวัสดุจากฝั่งไปยังพื้นที่ก่อสร้างและขนจากเรือขึ้นฝั่งบนเกาะ</t>
  </si>
  <si>
    <t xml:space="preserve">รวมทั้งเรือลำเลียงวัสดุ(เรือบาธ)ควรมีขนาดใหญ่ เพื่อความคุ้มค่าในการส่งวัสดุแต่ละครั้ง นอกจากนี้ พื้นที่ก่อสร้างอยู่บริเวณปลายเกาะ </t>
  </si>
  <si>
    <t xml:space="preserve"> การลำเลียงวัสดุจากฝั่งต้องใช้ท่าเทียบเรือของเอกชนหรือของกรมเจ้าท่าซึ่งต้องเสียค่าธรรมเนียม งานขนส่งเสาเข็มยาวต้องใช้โป๊ะขนาดใหญ่ </t>
  </si>
  <si>
    <t xml:space="preserve">ไม่มีทางรถยนต์เข้าถึง เข้าดืทางเรือเท่านั้น และเป็นพื้นที่ทุรกันดารน้ำจืดไม่เพียงพอต่อการอุปโภค-บริโภค ไม่มีไฟฟ้าใช้ </t>
  </si>
  <si>
    <t>ต้องจัดหาเครื่องกำเนิดไฟฟ้าและ จัดส่งน้ำจืดจากฝั่งเพื่อไปใช้ในงานก่อสร้าง สำหรับการก่อสร้างสะพานท่าเทียบเรือต้องก่อสร้างในทะเลน้ำลึก</t>
  </si>
  <si>
    <t>สรปค่าใช้จ่ายพิเศษ</t>
  </si>
  <si>
    <t>ค่าเจาะสำรวจดินในทะเล</t>
  </si>
  <si>
    <t>ค่าขนส่งเครื่องมือ ไป-กลับ</t>
  </si>
  <si>
    <t>ค่าเดินทาง ค่าขนส่งตัวอย่างทดสอบ ค่ารายงานผล</t>
  </si>
  <si>
    <t>ค่าโป๊ะหรือแพสำหรับตั้งเครื่องเจาะและเรือลาก</t>
  </si>
  <si>
    <t>ค่าใช้จ่ายในการขนวัสดุระหว่างฝั่ง-เกาะ(เดือนละ2เที่ยว)</t>
  </si>
  <si>
    <t>ค่าเครนยกวัสดุลงเรือบาธ+ค่าธรรมเนียมการใช้ท่าเรือ</t>
  </si>
  <si>
    <t>รวมค่าใช้จ่ายพิเศษในงานเจาะสำรวจดิน</t>
  </si>
  <si>
    <t>ค่าขนวัสดุจากเรือลำเลียงขึ้นฝั่งบนเกาะ</t>
  </si>
  <si>
    <t>รวมค่าใช้จ่ายพิเศษ การลำเลียงวัสดุ</t>
  </si>
  <si>
    <t>ตรม.</t>
  </si>
  <si>
    <t>ค่านั่งร้านทำงานในน้ำ</t>
  </si>
  <si>
    <t>ค่าลากเรือลำเลียงและโป๊ะ กรุงเทพ-เกาะกูด(ไป-กลับ)</t>
  </si>
  <si>
    <t>ค่าเช่าเรือลำเลียงและค่าเรือลากจูง</t>
  </si>
  <si>
    <t>ตลอดระยะเวลาก่อสร้าง( คิดเฉลี่ยประมาณ 6 เดือน )</t>
  </si>
  <si>
    <t>ค่าลำเลียงวัสดุและค่าประกอบติดตั้งงานโครงสร้างในน้ำ</t>
  </si>
  <si>
    <t>ค่าเครน 15,000 ค่าธรรมเนียม 10,000</t>
  </si>
  <si>
    <t>จำเป็นต้องมีงานนั่งร้านพิเศษเพิ่มเติมจากงานไม้แบบทั่วไป และการทำงานในน้ำจะได้ปริมาณงานน้อยกว่าทำบนฝั่งจึงมีค่าแรงที่เพิ่มสูงขึ้น</t>
  </si>
  <si>
    <t>รวม (บาท )</t>
  </si>
  <si>
    <t>ค่าแรงงาน  (บาท )</t>
  </si>
  <si>
    <t>ค่าวัสดุ  (บาท )</t>
  </si>
  <si>
    <t>ค่าเช่าเครื่องกำเนิดไฟฟ้า + ค่าเชื้อเพลิง</t>
  </si>
  <si>
    <t>ค่าเช่า 15,000/ เดือน ค่าน้ำมัน 1,200 / วัน</t>
  </si>
  <si>
    <t>ค่าแรงเพิ่มอีก 35 % ของค่าแรงปกติ เฉพาะงานโครงสร้างท่าเรือ (ค่าแรง =  600,000)</t>
  </si>
  <si>
    <t>ค่าลำเลียงวัสดุ และขนข้ายเครื่องมือเครื่องจักรทุ่นแรง</t>
  </si>
  <si>
    <t>ประมาณ 5 % ของค่าวัสดุ ทั้งโครงการ ( ค่าวัสดุทั้งหมด 10.4 ล้าน )</t>
  </si>
  <si>
    <t>คิดเป็น</t>
  </si>
  <si>
    <t>ปรับเป็น</t>
  </si>
  <si>
    <t>มูลค่างานในงวด</t>
  </si>
  <si>
    <t>รวมมูลค่างวด</t>
  </si>
  <si>
    <t>งานฐานราก</t>
  </si>
  <si>
    <t>วัสดุและแรงงาน</t>
  </si>
  <si>
    <t xml:space="preserve"> รวมเงินหน้านี้</t>
  </si>
  <si>
    <t xml:space="preserve">สถานที่  </t>
  </si>
  <si>
    <t xml:space="preserve">หน่วยงานเจ้าของโครงการ/งานก่อสร้าง  </t>
  </si>
  <si>
    <t xml:space="preserve">แบบเลขที่  </t>
  </si>
  <si>
    <r>
      <rPr>
        <b/>
        <sz val="14"/>
        <rFont val="TH SarabunPSK"/>
        <family val="2"/>
      </rPr>
      <t>หน่วยงานเจ้าของโครงการ</t>
    </r>
    <r>
      <rPr>
        <sz val="14"/>
        <rFont val="TH SarabunPSK"/>
        <family val="2"/>
      </rPr>
      <t xml:space="preserve"> </t>
    </r>
  </si>
  <si>
    <t>งานอาคาร</t>
  </si>
  <si>
    <t xml:space="preserve">กลุ่มงาน  </t>
  </si>
  <si>
    <t>ชื่อโครงการ</t>
  </si>
  <si>
    <t>แบบแสดงรายการปริมาณงานและราคา</t>
  </si>
  <si>
    <t xml:space="preserve"> ลำดับที่</t>
  </si>
  <si>
    <t>กลุ่มงาน</t>
  </si>
  <si>
    <t>สถานที่ก่อสร้าง</t>
  </si>
  <si>
    <t>( บาท )</t>
  </si>
  <si>
    <t xml:space="preserve">แบบ ปร. 4 ที่แนบ   จำนวน  </t>
  </si>
  <si>
    <t>ชื่อโครงการ/</t>
  </si>
  <si>
    <t>แบบ    ปร.4   และ   ปร.5 ที่แนบ</t>
  </si>
  <si>
    <t>ราคารวม ค่าครุภัณฑ์</t>
  </si>
  <si>
    <t>รวมราคา ค่าครุภัณฑ์ จัดซื้อ</t>
  </si>
  <si>
    <t>ภาษี</t>
  </si>
  <si>
    <t>มูลค่าเพิ่ม</t>
  </si>
  <si>
    <t>แบบสรุปค่าครุภัณฑ์ จัดซื้อ</t>
  </si>
  <si>
    <t xml:space="preserve">รายการ </t>
  </si>
  <si>
    <t>ค่าใช้จ่ายรวม (บาท )</t>
  </si>
  <si>
    <t>( ค่าก่อสร้าง )</t>
  </si>
  <si>
    <t xml:space="preserve"> รวมเงิน ค่าใช้จ่ายพิเศษตามข้อกำหนดทุกรายการ</t>
  </si>
  <si>
    <r>
      <t xml:space="preserve">รายการ     </t>
    </r>
    <r>
      <rPr>
        <b/>
        <sz val="14"/>
        <color rgb="FF0000FF"/>
        <rFont val="TH Sarabun New"/>
        <family val="2"/>
      </rPr>
      <t>(ระบุรายการค่าใช้จ่ายพิเศษตามข้อกำหนด)</t>
    </r>
  </si>
  <si>
    <t xml:space="preserve">หน่วยงานเจ้าของโครงการ </t>
  </si>
  <si>
    <t>คำนวณราคากลางโดย</t>
  </si>
  <si>
    <t>พี่ชาติ</t>
  </si>
  <si>
    <t>ประกันผลงาน</t>
  </si>
  <si>
    <t>&gt;200</t>
  </si>
  <si>
    <t>วงเงิน</t>
  </si>
  <si>
    <t>RETENSION</t>
  </si>
  <si>
    <t>คำนวณราคาโดย</t>
  </si>
  <si>
    <t xml:space="preserve">     พี่ชาติ</t>
  </si>
  <si>
    <t>ส่วนต่างวงเงิน</t>
  </si>
  <si>
    <t>ค่าเปลี่ยนแปลง</t>
  </si>
  <si>
    <t>ตร.ม.</t>
  </si>
  <si>
    <t>ท่อน</t>
  </si>
  <si>
    <t>ชุด</t>
  </si>
  <si>
    <t xml:space="preserve">             วัสดุ + แรงงาน</t>
  </si>
  <si>
    <t xml:space="preserve"> - บ่อกระจายน้ำ</t>
  </si>
  <si>
    <t xml:space="preserve"> - โคมไฟหลอดฟูลออเรสเชนต์ฐานโลหะเคลือบสีขั้วดันสปริง 2X36 W. 220V.AC.</t>
  </si>
  <si>
    <t xml:space="preserve"> - โคมไฟหลอดฟูลออเรสเชนต์ฐานโลหะเคลือบสีขั้วดันสปริง 1X36 W. 220V.AC.</t>
  </si>
  <si>
    <t xml:space="preserve"> - ดวงโคมดาวไลด์ขนาด 11 W. WARWHITE หลอดคอมแพค</t>
  </si>
  <si>
    <t>งานไฟฟ้าภายใน</t>
  </si>
  <si>
    <t xml:space="preserve"> - โคมโลเบย์(ฝาชี)หลอดเมทัลอาไลด์ขนาด 70W.220V.AC.</t>
  </si>
  <si>
    <t xml:space="preserve">   ขั้วหลอดทำจาก PORCELAIN สามารถทน PULSE ได้ 3.5 KV.</t>
  </si>
  <si>
    <t xml:space="preserve"> - สวิทช์เปิด-ปิดดวงโคมชนิดพร้อมกล่องขนาด 15 A. 250 V.AC.</t>
  </si>
  <si>
    <t xml:space="preserve"> - เต้ารับคู่แบบมีสายกราวด์  (2P+G)  ขนาด 15 A.  250 V.AC.50HZ.</t>
  </si>
  <si>
    <t xml:space="preserve"> - สายไฟฟ้าขนาด 1.5  Sq.mm.  THW</t>
  </si>
  <si>
    <t>ม้วน</t>
  </si>
  <si>
    <t xml:space="preserve"> - สายไฟฟ้าขนาด  2.5  Sq.mm.  THW</t>
  </si>
  <si>
    <t xml:space="preserve"> - สายไฟฟ้าขนาด  4 Sq.mm.  THW</t>
  </si>
  <si>
    <r>
      <t xml:space="preserve"> - ท่อ  EMT </t>
    </r>
    <r>
      <rPr>
        <sz val="14"/>
        <rFont val="Calibri"/>
        <family val="2"/>
      </rPr>
      <t>¾"</t>
    </r>
  </si>
  <si>
    <r>
      <t xml:space="preserve"> - ท่อ  EMT</t>
    </r>
    <r>
      <rPr>
        <sz val="14"/>
        <rFont val="Calibri"/>
        <family val="2"/>
      </rPr>
      <t>½"</t>
    </r>
  </si>
  <si>
    <r>
      <t xml:space="preserve"> - ท่อ  EMT</t>
    </r>
    <r>
      <rPr>
        <sz val="14"/>
        <rFont val="Calibri"/>
        <family val="2"/>
      </rPr>
      <t xml:space="preserve"> 1"</t>
    </r>
  </si>
  <si>
    <r>
      <t xml:space="preserve"> - ท่อ  IMC 1</t>
    </r>
    <r>
      <rPr>
        <sz val="14"/>
        <rFont val="Calibri"/>
        <family val="2"/>
      </rPr>
      <t>½"</t>
    </r>
  </si>
  <si>
    <r>
      <t xml:space="preserve"> - หัวงูเห่าขนาด 1</t>
    </r>
    <r>
      <rPr>
        <sz val="14"/>
        <rFont val="Calibri"/>
        <family val="2"/>
      </rPr>
      <t>½"</t>
    </r>
  </si>
  <si>
    <t>หัว</t>
  </si>
  <si>
    <t xml:space="preserve"> - 'ตู้ LOAD PANEL ขนาด 18 วงจรย่อยพร้อมเมนเบรคเกอร์</t>
  </si>
  <si>
    <t xml:space="preserve"> -  ระบบกราวด์แรงต่ำ (Triple Ground )</t>
  </si>
  <si>
    <t xml:space="preserve"> - RACK 7 ช่อง 4 SPOOL พร้อมลูกแรคอย่างหนา</t>
  </si>
  <si>
    <t xml:space="preserve"> - พัดลมดูดอากาศขนาด 8"</t>
  </si>
  <si>
    <t xml:space="preserve"> - ค่าแรงติดตั้งเครื่องปรับอากาศ</t>
  </si>
  <si>
    <t>งานระบบประปาภายใน</t>
  </si>
  <si>
    <t xml:space="preserve"> - บ่อบำบัดน้ำเสียขนาด 1000 ลิตร พร้อมฐาน ค.ส.ล. และติดตั้ง</t>
  </si>
  <si>
    <r>
      <t xml:space="preserve"> - มิเตอร์ ขนาด </t>
    </r>
    <r>
      <rPr>
        <sz val="14"/>
        <rFont val="Symbol"/>
        <family val="1"/>
        <charset val="2"/>
      </rPr>
      <t>f</t>
    </r>
    <r>
      <rPr>
        <sz val="14"/>
        <rFont val="TH SarabunPSK"/>
        <family val="2"/>
      </rPr>
      <t xml:space="preserve"> 3/4"</t>
    </r>
  </si>
  <si>
    <t xml:space="preserve"> - ถังเก็บน้ำขนาด 1000 ลิตร พร้อมฐาน ค.ส.ล. และติดตั้ง</t>
  </si>
  <si>
    <t>คำนวณโดย</t>
  </si>
  <si>
    <t>ติ๊ก</t>
  </si>
  <si>
    <t xml:space="preserve">   ติ๊ก</t>
  </si>
  <si>
    <t>พี่โชติ</t>
  </si>
  <si>
    <t xml:space="preserve"> - งานติดตั้งระบบท่อประปาและสุขาภิบาลภายในอาคาร</t>
  </si>
  <si>
    <t>งานไฟฟ้าภายนอก</t>
  </si>
  <si>
    <t>หม้อแปลงไฟฟ้า</t>
  </si>
  <si>
    <t>งานประปาภายนอก</t>
  </si>
  <si>
    <t>&lt;----- รวมงาน SHEET นี้</t>
  </si>
  <si>
    <t>1..2127</t>
  </si>
  <si>
    <t>&gt;700</t>
  </si>
  <si>
    <t>ฝนชุก1</t>
  </si>
  <si>
    <t>ฝนชุก2</t>
  </si>
  <si>
    <t>ปกติ</t>
  </si>
  <si>
    <t>&gt;500</t>
  </si>
  <si>
    <t>FACTOR  F ---&gt;</t>
  </si>
  <si>
    <t>กรณี งานอาคาร</t>
  </si>
  <si>
    <t>กรณีงานทาง</t>
  </si>
  <si>
    <t>กรณีงานสะพาน</t>
  </si>
  <si>
    <t>หมายเหตุ :</t>
  </si>
  <si>
    <t>ฝนชุก 1    ได้แก่ จังหวัด  :</t>
  </si>
  <si>
    <t>กรุงเทพ,กระบี่,จันทบุรี,ชุมพร,เชียงราย,ตรัง,นครนายก,ปราจีนบุรี,พัทลุง,ภูเก็ต,ยะลา,สกลนคร,สตูล,หนองคาย</t>
  </si>
  <si>
    <t>ฝนชุก 2    ได้แก่ จังหวัด  :</t>
  </si>
  <si>
    <t>ตราด,นครพนม,นครศรธรรมราช,นราธิวาส,บึงกาฬ,พังงา,ระนอง,สงขลา</t>
  </si>
  <si>
    <t>แบบสรุปราคากลาง งานก่อสร้าง</t>
  </si>
  <si>
    <t>รวมค่าก่อสร้างทั้งโครงการ,รวมค่าซ่อมแซมทั้งโครงการ,รวมค่าปรับปรุงทั้งโครงการ,รวมค่าใช้จ่ายทั้งโครงการ,รวมค่าจัดซื้อทั้งโครงการ</t>
  </si>
  <si>
    <t>งานระบบไฟฟ้าภายนอกอาคาร</t>
  </si>
  <si>
    <t>ปักเสา/พาดสายไฟฟ้า</t>
  </si>
  <si>
    <t>ต้น</t>
  </si>
  <si>
    <t>ลูก</t>
  </si>
  <si>
    <t>ตัว</t>
  </si>
  <si>
    <t>เมตร</t>
  </si>
  <si>
    <t>งานปรับปรุงระบบไฟฟ้าแรงต่ำ</t>
  </si>
  <si>
    <t>รวมราคาปรับปรุง</t>
  </si>
  <si>
    <t xml:space="preserve">     น.อ.เกรียงศักดิ์ พลหาญ, ร.อ.เฉลิมชัย เมืองคล้าย</t>
  </si>
  <si>
    <t>- 600A.3P.MCCB.35kA.IC.</t>
  </si>
  <si>
    <t>- 120 sq.mm. CV 0.6/1kV</t>
  </si>
  <si>
    <t>- 35 sq.mm. CV</t>
  </si>
  <si>
    <t>- MDB Cubicle with Meterings,Outdoor Type</t>
  </si>
  <si>
    <t>- 400A.3P.MCCB.25kA.IC.</t>
  </si>
  <si>
    <t>- LV.Grounding System</t>
  </si>
  <si>
    <t>- 160A.3P.MCCB.25kA.IC.</t>
  </si>
  <si>
    <t>- W0.3m. Cable Ladder</t>
  </si>
  <si>
    <t>- Accessories</t>
  </si>
  <si>
    <t>- HV.Grounding System</t>
  </si>
  <si>
    <t>- งานติดตั้งหม้อแปลงไฟฟ้าขนาด 400 kVA.</t>
  </si>
  <si>
    <t>- งานรื้อถอนฯ (เสา,สายไฟ,หม้อแปลง,อุปกรณ์ประกอบ)</t>
  </si>
  <si>
    <t>- 50 sq.mm. SAC 25 kV.</t>
  </si>
  <si>
    <t>- 3-Single Pole Disconnecting Switch 400A. 25kV. 150kV.BIL.40kA.</t>
  </si>
  <si>
    <t>- Lightning Arrestor 5kA. 21kV.</t>
  </si>
  <si>
    <t>- 100A. 27kV. 125kV.BIL. 10kA. Drop Fuse Cutout</t>
  </si>
  <si>
    <t xml:space="preserve">- 3-50 sq.mm.24kV.Outdoor Terminations </t>
  </si>
  <si>
    <t xml:space="preserve">- Crossarm Steel Channel L4.5m </t>
  </si>
  <si>
    <t xml:space="preserve">- Crossarm Steel Channel L2.5m </t>
  </si>
  <si>
    <t xml:space="preserve">- Suspension Insulator </t>
  </si>
  <si>
    <t xml:space="preserve">- Pin Post Insulator  </t>
  </si>
  <si>
    <t>- เสาคอนกรีต คอร. ขนาด 12.00 เมตร มาตรฐานการไฟฟ้าฯ (Electric Pole,EP-)</t>
  </si>
  <si>
    <r>
      <rPr>
        <b/>
        <sz val="14"/>
        <rFont val="TH Sarabun New"/>
        <family val="2"/>
      </rPr>
      <t>หน่วยงานเจ้าของโครงการ</t>
    </r>
    <r>
      <rPr>
        <sz val="14"/>
        <rFont val="TH Sarabun New"/>
        <family val="2"/>
      </rPr>
      <t xml:space="preserve"> </t>
    </r>
  </si>
  <si>
    <t>งานฝ้าเพดาน</t>
  </si>
  <si>
    <t>งานผนังและฝา</t>
  </si>
  <si>
    <t>งานผิวพื้น</t>
  </si>
  <si>
    <t>งานทาสี</t>
  </si>
  <si>
    <t>ม.</t>
  </si>
  <si>
    <t>งานครุภัณฑ์ประจำอาคาร</t>
  </si>
  <si>
    <t xml:space="preserve"> - ครอบหลังคาเหล็กชุบสังกะสีเคลือบสีสันกลางหลังคา</t>
  </si>
  <si>
    <t xml:space="preserve"> - ครอบสันหลังคาเหล็กชุบสังกะสีเคลือบสี</t>
  </si>
  <si>
    <t xml:space="preserve"> - ฝ้ายิปซั่มบอร์ดหนา 9 มม.ขอบลาดฉาบเรียบโครงคร่าวเหล็กชุบสังกะสี</t>
  </si>
  <si>
    <t xml:space="preserve"> - ฝ้ายิปซั่มบอร์ดหนา 9 มม.ชนิดทนชื้นขอบลาดฉาบเรียบโครงคร่าวเหล็กชุบสังกะสี</t>
  </si>
  <si>
    <t xml:space="preserve"> - ฝ้าเพดานฉาบปูนเรียบ</t>
  </si>
  <si>
    <t xml:space="preserve"> - ผนังก่ออิฐมวลเบา</t>
  </si>
  <si>
    <t xml:space="preserve"> - ผนังฉาบเรียบภายนอก</t>
  </si>
  <si>
    <t xml:space="preserve"> - ผนังฉาบปูนเรียบภายใน</t>
  </si>
  <si>
    <t xml:space="preserve"> - ผนังกรุกระเบื้องเซรามิคขนาด 0.20x0.40 ม.</t>
  </si>
  <si>
    <t xml:space="preserve"> - ผนังทำผิวขัดมันเรียบ</t>
  </si>
  <si>
    <t xml:space="preserve"> - ผนังทำผิวทรายล้าง</t>
  </si>
  <si>
    <t xml:space="preserve"> - บัวปูนปั้น</t>
  </si>
  <si>
    <t xml:space="preserve"> - ราวกันตกเหล็กทาสี แบบที่ 1,2,3</t>
  </si>
  <si>
    <t xml:space="preserve"> - พื้นผิวซีเมนต์ขัดมันเรียบ</t>
  </si>
  <si>
    <t xml:space="preserve"> - บัวเชิงผนังขัดมันเรียบสูง 0.10 ม.</t>
  </si>
  <si>
    <t xml:space="preserve"> - บัวเชิงผนังไวนิลสูง 0.09 ม.หนา 4 มม.</t>
  </si>
  <si>
    <t xml:space="preserve"> - พื้นปูกระเบื้องเซรามิค (ผิวกันลื่น) ขนาด 0.20x0.20 ม.</t>
  </si>
  <si>
    <t xml:space="preserve"> - พื้นทำผิวกรวดล้าง</t>
  </si>
  <si>
    <t xml:space="preserve"> - ม้านั่ง ค.ส.ล. ทำผิวทรายล้าง</t>
  </si>
  <si>
    <t xml:space="preserve"> - บัวเชิงผนังทรายล้างสูง 0.10 ม.</t>
  </si>
  <si>
    <t>งานบันได</t>
  </si>
  <si>
    <t xml:space="preserve"> - พื้นบันไดลูกตั้งและลูกนอนเทปูนทรายปรับระดับ ผิวฉาบปูนขัดมัน</t>
  </si>
  <si>
    <t xml:space="preserve"> - ราวลูกกรงบันไดเหล็ก ANGLES 50x50 มม.หนา 5 มม.และ 50x20 มม.</t>
  </si>
  <si>
    <t>ทาสีน้ำมัน</t>
  </si>
  <si>
    <t xml:space="preserve"> - งานทาสีซีเมนต์พร้อมทาน้ำยาเคลือบผิวปูนซีเมนต์แบ่งช่องเซาะร่อง</t>
  </si>
  <si>
    <t xml:space="preserve"> - งานทาสีอะคริลิคภายนอก</t>
  </si>
  <si>
    <t xml:space="preserve"> - งานทาสีอะคริลิคภายใน</t>
  </si>
  <si>
    <t xml:space="preserve"> - งานทาสีน้ำมัน</t>
  </si>
  <si>
    <t>งานปรับถมดิน ถนนลาดยาง</t>
  </si>
  <si>
    <t xml:space="preserve"> - งานปรับสภาพพื้น</t>
  </si>
  <si>
    <t xml:space="preserve"> - งานถมดิน</t>
  </si>
  <si>
    <t xml:space="preserve"> - งานปลูกหญ้านวลน้อย</t>
  </si>
  <si>
    <t xml:space="preserve"> - คันขอบ ค.ส.ล.สำเร็จรูป</t>
  </si>
  <si>
    <t xml:space="preserve"> - ฝ้าเพดานไม้เทียม WPC (WOOD PLASTIC COMPOSITE) </t>
  </si>
  <si>
    <t xml:space="preserve"> - ผนังไม้ตกแต่งไฟเบอร์ซีเมนต์ ลายริธั่ม ขนาด1.50x0.20 ม.</t>
  </si>
  <si>
    <t>พร้อมโครง</t>
  </si>
  <si>
    <t xml:space="preserve"> - จมูกบันไดอลูมิเนียมชุบสีดำขนาด 2"</t>
  </si>
  <si>
    <t>ลบ.ม.</t>
  </si>
  <si>
    <t>จ.ชลบุรี</t>
  </si>
  <si>
    <t>อาคารพักทหารประทานโสด (NCOQ)</t>
  </si>
  <si>
    <t>งานเสาเข็ม และฐานราก</t>
  </si>
  <si>
    <t xml:space="preserve"> - งานขุดดิน</t>
  </si>
  <si>
    <t xml:space="preserve"> - เสาเข็ม BORED PILE Ø 0.35 ม. ยาว 7.00ม. เสริมเหล็ก 6 DB 12 ตลอดต้น</t>
  </si>
  <si>
    <t xml:space="preserve"> - งานเจาะสำรวจดิน</t>
  </si>
  <si>
    <t xml:space="preserve"> - SEISMIC  TEST</t>
  </si>
  <si>
    <t xml:space="preserve">วัสดุ  +  </t>
  </si>
  <si>
    <t>แรงงาน</t>
  </si>
  <si>
    <t>-</t>
  </si>
  <si>
    <t xml:space="preserve"> - คอนกรีตหยาบ</t>
  </si>
  <si>
    <t xml:space="preserve"> - แบบหล่อคอนกรีต</t>
  </si>
  <si>
    <t xml:space="preserve"> - คอนกรีตฐานราก (240ksc)</t>
  </si>
  <si>
    <t xml:space="preserve"> - เหล็กเสริมคอนกรีต</t>
  </si>
  <si>
    <t xml:space="preserve">   RB 9 mm (SR 24)</t>
  </si>
  <si>
    <t>ตัน</t>
  </si>
  <si>
    <t xml:space="preserve">   DB 12 mm (SD 40)</t>
  </si>
  <si>
    <t xml:space="preserve">   DB 16 mm (SD 40)</t>
  </si>
  <si>
    <t xml:space="preserve"> - ลวดผูกเหล็ก</t>
  </si>
  <si>
    <t>กก.</t>
  </si>
  <si>
    <t xml:space="preserve"> - ตะปู</t>
  </si>
  <si>
    <t>งานโครงสร้าง ค.ส.ล.</t>
  </si>
  <si>
    <t xml:space="preserve">งานมุงหลังคา </t>
  </si>
  <si>
    <t xml:space="preserve"> - คอนกรีตโครงสร้าง (240ksc)</t>
  </si>
  <si>
    <t xml:space="preserve">   RB 6 mm (SR 24)</t>
  </si>
  <si>
    <t xml:space="preserve">   DB 20 mm (SD 40)</t>
  </si>
  <si>
    <t xml:space="preserve"> - พื้นสำเร็จรูปชนิดท้องเรียบ หนา 0.05 ม. รับน้ำหนักบรรทุกได้ไม่น้อยกว่า</t>
  </si>
  <si>
    <t>200 กก./ตร.ม.</t>
  </si>
  <si>
    <t xml:space="preserve"> - WIRE MESH Ø 4 มม. @ 0.20 ม. #</t>
  </si>
  <si>
    <t xml:space="preserve"> - คอนกรีตทับหน้า</t>
  </si>
  <si>
    <t>งานโครงสร้างหลังคาเหล็กรูปพรรณ</t>
  </si>
  <si>
    <t xml:space="preserve"> - [] 100x50x3.2mm.</t>
  </si>
  <si>
    <t xml:space="preserve"> - [ 100x50x20x2.3mm.</t>
  </si>
  <si>
    <t xml:space="preserve"> - [] 150x150x6mm.</t>
  </si>
  <si>
    <t xml:space="preserve"> - [] 150x50x3.2mm.</t>
  </si>
  <si>
    <t xml:space="preserve"> - L50x50x4mm.</t>
  </si>
  <si>
    <t xml:space="preserve"> - PL 200x100x8มม.</t>
  </si>
  <si>
    <t xml:space="preserve"> - Non Shrink</t>
  </si>
  <si>
    <t>ขนาดฐาน 100 มม. สูง 200 มม. หนา 8 มม.</t>
  </si>
  <si>
    <t xml:space="preserve"> - PL 200x200x8มม. พร้อม 4 DB 16 Ancher Steel และ PL สามเหลี่ยม</t>
  </si>
  <si>
    <t xml:space="preserve"> - PL 250x250x8มม. พร้อม 8 DB 16 Ancher Steel</t>
  </si>
  <si>
    <t xml:space="preserve"> - PL 200x200x8มม.</t>
  </si>
  <si>
    <t xml:space="preserve"> - WF 200x100x21.3 kg/m.</t>
  </si>
  <si>
    <t xml:space="preserve"> - ค่าแรงประกอบ</t>
  </si>
  <si>
    <t xml:space="preserve"> - สีกันสนิมและสีน้ำมันทับหน้า</t>
  </si>
  <si>
    <t xml:space="preserve"> - อาคารพักนายทหารประทวนโสด </t>
  </si>
  <si>
    <t>หลัง</t>
  </si>
  <si>
    <t xml:space="preserve">อาคารพักนายทหารประทวนโสด </t>
  </si>
  <si>
    <t>งานอาคารนายทหารประทวนโสด  2 หลัง</t>
  </si>
  <si>
    <t>รวมค่าก่อสร้างทั้งโครงการ</t>
  </si>
  <si>
    <t>ค่าก่อสร้าง</t>
  </si>
  <si>
    <t xml:space="preserve"> - ACRYLIC DIFFUSER LUMINAIRE (RECESS TYPE)</t>
  </si>
  <si>
    <t xml:space="preserve">   2x~16-18W. LED TUBE LAMP ( 0.30X1.20 m.)</t>
  </si>
  <si>
    <t xml:space="preserve"> - U-SHAPE ACRYLIC DIFFUSER LUMINAIRE 1x~8-10W. </t>
  </si>
  <si>
    <t xml:space="preserve">   LED TUBE LAMP </t>
  </si>
  <si>
    <t xml:space="preserve"> - LED CELING MOUNTED LUMINAIRE (SURFACE TYPE) Dia </t>
  </si>
  <si>
    <t xml:space="preserve">   ~ 220 mm.,~20W.LED CHIP (~1,400 lm.)6,500k</t>
  </si>
  <si>
    <t xml:space="preserve">   ~ 180 mm.,1x~6W.LED CHIP 4,000k</t>
  </si>
  <si>
    <t xml:space="preserve"> - 16A. 250 V.AC. ONE WAY SWITCH NUMBER "X" /w. BOX</t>
  </si>
  <si>
    <t xml:space="preserve"> - 16A. 250 V.AC. THREE WAY SWITCH  NUMBER "X" /w. BOX</t>
  </si>
  <si>
    <t xml:space="preserve"> - 16A. 250V.AC. DUPLEX RECEPTACLE (2P+G) UNIVERSAL TYPE</t>
  </si>
  <si>
    <t xml:space="preserve"> - 16A. 250V.AC. DUPLEX RECEPTACLE (2P+G) UNIVERSAL TYPE Wp.</t>
  </si>
  <si>
    <t xml:space="preserve"> - 10A. 250V.AC. SINGLE RECEPTACLE (2P+G)</t>
  </si>
  <si>
    <t xml:space="preserve">   UNIVERSAL TYPE CEILING MTD.</t>
  </si>
  <si>
    <t xml:space="preserve"> - 16" CEILING FAN</t>
  </si>
  <si>
    <t>ตู้ MDB.</t>
  </si>
  <si>
    <t xml:space="preserve"> - ตู้ MAIN DISTRIBUTION BOARD   3Ph - 4W. FN/HG.</t>
  </si>
  <si>
    <t xml:space="preserve"> - 250AT. 3P. MCCB. 25kA.IC. </t>
  </si>
  <si>
    <t xml:space="preserve"> - PILOT LAMP</t>
  </si>
  <si>
    <t xml:space="preserve"> - 3x6A. FUSES</t>
  </si>
  <si>
    <t xml:space="preserve"> - 60A. HRC FUSES</t>
  </si>
  <si>
    <t xml:space="preserve"> - 250/5A. CURRENT TRANSFORMER </t>
  </si>
  <si>
    <t xml:space="preserve"> - 3PHASE DIGITAL ENERGY METER /w CT.</t>
  </si>
  <si>
    <t xml:space="preserve"> - 40A. 1PHASE DIGITAL ENERGY METER </t>
  </si>
  <si>
    <t xml:space="preserve"> - 40kA.3Ø-4W. SURGE PROTECTION                     </t>
  </si>
  <si>
    <t>ราคาตู้รวม</t>
  </si>
  <si>
    <t xml:space="preserve"> - GROUNDING SYSTEM</t>
  </si>
  <si>
    <t xml:space="preserve">ตู้  LC </t>
  </si>
  <si>
    <t xml:space="preserve"> - ตู้ LOAD CENTER ชนิดมี 42 ช่อง พร้อม MAIN  LUG</t>
  </si>
  <si>
    <t xml:space="preserve"> - BRANCH  BREAKER  16AT. 1P. 6kA.</t>
  </si>
  <si>
    <t xml:space="preserve"> - BRANCH  BREAKER  32AT. 1P. 10kA.</t>
  </si>
  <si>
    <t xml:space="preserve"> ตู้  CU.01- CU.22</t>
  </si>
  <si>
    <t xml:space="preserve"> - ตู้  CONSUMER UNIT ชนิด 4 ช่อง พร้อม MAIN CIRCUIT BREAKER</t>
  </si>
  <si>
    <t xml:space="preserve">   32AT. 2P. MCB. 10kA.IC.</t>
  </si>
  <si>
    <t>ตู้</t>
  </si>
  <si>
    <t>1x22 ห้อง</t>
  </si>
  <si>
    <t xml:space="preserve"> - BRANCH  BREAKER  10AT. 1P. 6 kA.</t>
  </si>
  <si>
    <t>1x22</t>
  </si>
  <si>
    <t xml:space="preserve"> - BRANCH  BREAKER  16AT. 1P. 6 kA.</t>
  </si>
  <si>
    <t xml:space="preserve"> - BRANCH  BREAKER  20AT. 1P. 6kA. RCBO</t>
  </si>
  <si>
    <t>สายไฟฟ้าและท่อร้อยสายไฟฟ้า</t>
  </si>
  <si>
    <t xml:space="preserve"> - 1.5 Sq.mm. IEC-01</t>
  </si>
  <si>
    <t xml:space="preserve"> - 2.5 Sq.mm. IEC-01</t>
  </si>
  <si>
    <t xml:space="preserve"> - 4 Sq.mm. IEC-01</t>
  </si>
  <si>
    <t xml:space="preserve"> - 10 Sq.mm. IEC-01</t>
  </si>
  <si>
    <t xml:space="preserve"> - WIRE WAY 100 x 100 x 1.2 มม.</t>
  </si>
  <si>
    <t xml:space="preserve"> - อุปกรณ์ประกอบและอื่น ๆ</t>
  </si>
  <si>
    <t>763,474x12%</t>
  </si>
  <si>
    <t>รวมเงิน</t>
  </si>
  <si>
    <t xml:space="preserve">ระบบโทรศัพท์  </t>
  </si>
  <si>
    <t xml:space="preserve"> - 10 Pairs TELEPHONE DISCONNECTION BOX</t>
  </si>
  <si>
    <t xml:space="preserve"> - BACK MOUNT FRAME 3 POS.</t>
  </si>
  <si>
    <t xml:space="preserve"> - CONNECTION TERMINAL/w SURGE ARRESTOR</t>
  </si>
  <si>
    <t xml:space="preserve"> - CONNECTION TERMINAL</t>
  </si>
  <si>
    <t xml:space="preserve"> - TELEPHONE OUTLET (MODULAR JACK TYPE) 6P4C</t>
  </si>
  <si>
    <t xml:space="preserve"> - สายโทรศัพท์ 6C - 0.65 mm. TIEV.</t>
  </si>
  <si>
    <t xml:space="preserve"> - ท่อ Ø 15 mm.  EMT</t>
  </si>
  <si>
    <t>ระบบโทรทัศน์</t>
  </si>
  <si>
    <t xml:space="preserve"> - 7 FEETS SATELLITE DISH</t>
  </si>
  <si>
    <t>วัสดุ + แรงงาน</t>
  </si>
  <si>
    <t xml:space="preserve"> - 5 IN 12 OUT MULTI SWITCH</t>
  </si>
  <si>
    <t xml:space="preserve"> - STEEL BOX MULTI SWITCH</t>
  </si>
  <si>
    <t xml:space="preserve"> - DIGITAL RECEIVER</t>
  </si>
  <si>
    <t xml:space="preserve"> - TELEVISION  OUTLET</t>
  </si>
  <si>
    <t xml:space="preserve"> - RG-6</t>
  </si>
  <si>
    <t xml:space="preserve"> - RG-11</t>
  </si>
  <si>
    <t>ระบบสัญญาณเตือนอัคคีภัย</t>
  </si>
  <si>
    <t xml:space="preserve"> - 5 ZONES FIRE ALARM CONTROL PANEL </t>
  </si>
  <si>
    <t xml:space="preserve"> - 5 ZONE GRAPHIC ANNUNCIATOR </t>
  </si>
  <si>
    <t xml:space="preserve"> - MANUAL STATION</t>
  </si>
  <si>
    <t>M</t>
  </si>
  <si>
    <t xml:space="preserve"> - ALARM BELL</t>
  </si>
  <si>
    <t>B</t>
  </si>
  <si>
    <t xml:space="preserve"> - PHOTO ELECTRIC SMOKE DETECTOR</t>
  </si>
  <si>
    <t xml:space="preserve"> - RATE OF RISE HEAT DETECTOR</t>
  </si>
  <si>
    <t xml:space="preserve"> - 2.5 Sq.mm. FRC.</t>
  </si>
  <si>
    <t>165,426x15%</t>
  </si>
  <si>
    <t xml:space="preserve"> - WALL MOUNT LUMINAIRE (SURFACE TYPE)1x~8W. LED BULB LAMP</t>
  </si>
  <si>
    <t xml:space="preserve"> - 9W. LED DOWNLIGHT EMERGENCY LIGHT /w. 2 Hrs. BATTERY BACKUP</t>
  </si>
  <si>
    <t xml:space="preserve"> - 1 SIDE GO STRAIGHT EXIT SIGN, 6W. LED /w. 2 Hrs. BATTERY BACKUP</t>
  </si>
  <si>
    <t xml:space="preserve"> - 2 TURN LEFT EXIT SIGN, 6W. LED /w. 2 Hrs. BATTERY BACKUP</t>
  </si>
  <si>
    <t xml:space="preserve"> - ท่อ ø 15 mm. EMT.</t>
  </si>
  <si>
    <t xml:space="preserve"> - ท่อ ø 20 mm. IMC.</t>
  </si>
  <si>
    <t xml:space="preserve"> - WIRE WAY 100 x 100 x 1.2 มม. (ใช้ร่วมกับระบบโทรศัพท์)</t>
  </si>
  <si>
    <t xml:space="preserve"> - ท่อ ø 20 mm. IMC</t>
  </si>
  <si>
    <t>งานระบบไฟฟ้าภายใน</t>
  </si>
  <si>
    <t>งานระบบไฟฟ้าภายใน ระบบโทรศัพท์ ระบบโทรทัศน์</t>
  </si>
  <si>
    <t xml:space="preserve"> - งานระบบไฟฟ้าภายใน</t>
  </si>
  <si>
    <t>ระบบไฟฟ้าภายนอกอาคาร</t>
  </si>
  <si>
    <t xml:space="preserve"> - เสาไฟฟ้าแรงสูง คอร. ขนาด  12.00 ม.</t>
  </si>
  <si>
    <t>25KV.</t>
  </si>
  <si>
    <t xml:space="preserve"> - คอนนั่งร้านหม้อแปลงไฟฟ้า คอร.</t>
  </si>
  <si>
    <t xml:space="preserve"> - คอนรับสายลงหม้อแปลงไฟฟ้า คอร.</t>
  </si>
  <si>
    <t xml:space="preserve"> - เหล็กหูช้างรับคานนั่งร้าน</t>
  </si>
  <si>
    <t xml:space="preserve"> - คอนสปั่นรับสายแรงสูง คอร </t>
  </si>
  <si>
    <t xml:space="preserve"> - เหล็กประกับไม้คอน. ขนาด 1 1/4" x 1/4" x 36"</t>
  </si>
  <si>
    <t xml:space="preserve"> - ฮอทไลท์แคล้มป์</t>
  </si>
  <si>
    <t xml:space="preserve"> - เบลแคล้มป์</t>
  </si>
  <si>
    <t xml:space="preserve"> - DROP  FUSE</t>
  </si>
  <si>
    <t xml:space="preserve"> - FUSE  LINK</t>
  </si>
  <si>
    <t xml:space="preserve"> - LIGHTNING  ARRESTER  ( HV)</t>
  </si>
  <si>
    <t xml:space="preserve"> - PIN POST INSULATOR</t>
  </si>
  <si>
    <t xml:space="preserve"> - SUSPENSION  INSULATOR</t>
  </si>
  <si>
    <t xml:space="preserve"> - 250 KVA. 22KV.-230/400 V.AC .3Ph4W.50Hz OI-SC HERMETTICALLY </t>
  </si>
  <si>
    <t xml:space="preserve">   SEALED  TYPE NO SINGLE POLE TRANSFORMER</t>
  </si>
  <si>
    <t xml:space="preserve"> - GROUND ROD LOW HIGH  VOLTAGE</t>
  </si>
  <si>
    <t xml:space="preserve"> - CABLE TRAY 300 mm. HDG.</t>
  </si>
  <si>
    <t xml:space="preserve"> - สายล่อฟ้า 25 Sq.mm. OHGW</t>
  </si>
  <si>
    <t xml:space="preserve"> - OVER HEAD BAYONET 65X65X6X2250 mm.</t>
  </si>
  <si>
    <t>กลาง</t>
  </si>
  <si>
    <t xml:space="preserve"> - CORNER  BAYONET 65X65X6X2150 mm.</t>
  </si>
  <si>
    <t>มุม</t>
  </si>
  <si>
    <t xml:space="preserve"> - DEAD END BAYONET 65X65X6X2250 mm.</t>
  </si>
  <si>
    <t>ปลาย</t>
  </si>
  <si>
    <t xml:space="preserve"> - GROUND  SYSTEM FROM OHGW </t>
  </si>
  <si>
    <t xml:space="preserve"> - สายยึดโยง (GUY  WIRE)</t>
  </si>
  <si>
    <t xml:space="preserve"> - STREET LIGHTING CABINET (รายละเอียดตามแบบ)</t>
  </si>
  <si>
    <t xml:space="preserve"> - 5 mm. THICK HEAVY TYPE RACK  2 SPOOL</t>
  </si>
  <si>
    <t xml:space="preserve"> - SPOOL INSULATOR (53-2)</t>
  </si>
  <si>
    <t xml:space="preserve"> - โคมไฟถนนหลอด LED ขนาด  80 W</t>
  </si>
  <si>
    <t xml:space="preserve"> - กิ่งโคม Dia. 2" ยาว 3.00 เมตร</t>
  </si>
  <si>
    <t xml:space="preserve"> - สายไฟฟ้า 50 Sq.mm. SAC  25 kV.</t>
  </si>
  <si>
    <t xml:space="preserve"> - สายไฟฟ้า 10 Sq.mm. IEC-01</t>
  </si>
  <si>
    <t xml:space="preserve"> - สายไฟฟ้า 16 Sq.mm. IEC-01</t>
  </si>
  <si>
    <t xml:space="preserve"> - สายไฟฟ้า 120 Sq.mm. IEC-01</t>
  </si>
  <si>
    <t xml:space="preserve"> - สายไฟฟ้า 150 Sq.mm. NYY-1C</t>
  </si>
  <si>
    <t xml:space="preserve"> - ท่อ 20 mm. IMC</t>
  </si>
  <si>
    <t xml:space="preserve"> - ท่อ 80 mm. IMC</t>
  </si>
  <si>
    <t xml:space="preserve">ระบบไฟฟ้าภายนอกอาคาร </t>
  </si>
  <si>
    <t xml:space="preserve"> - ท่อ ขนาด 125 mm. HDPE</t>
  </si>
  <si>
    <t xml:space="preserve"> - PREFORMED  50 Sq.mm.</t>
  </si>
  <si>
    <t xml:space="preserve"> - HAND HOLE TYPE </t>
  </si>
  <si>
    <t>x5%</t>
  </si>
  <si>
    <t xml:space="preserve"> - ค่าแรงระบบไฟฟ้าภายนอกอาคาร</t>
  </si>
  <si>
    <t>x10%</t>
  </si>
  <si>
    <t xml:space="preserve"> - SERVICE  ENTRANCE 20 mm.</t>
  </si>
  <si>
    <t xml:space="preserve"> - SERVICE  ENTRANCE 80 mm.</t>
  </si>
  <si>
    <t xml:space="preserve"> - ท่อ ø 25 mm. IMC.</t>
  </si>
  <si>
    <t xml:space="preserve"> - 30A.600V.AC.3P HEAVY DUTY INDOOR TYTPE SAFETY SWITCH/w </t>
  </si>
  <si>
    <t xml:space="preserve">   FUSIBLE</t>
  </si>
  <si>
    <t>สายไฟฟ้าและท่อร้อยสายไฟฟ้า(ต่อ)</t>
  </si>
  <si>
    <t xml:space="preserve"> - หลังคาเหล็กชุบสังกะสีเคลือบสี ความหนารวมชั้นเคลือบไม่น้อยกว่า 0.50 มม.</t>
  </si>
  <si>
    <t xml:space="preserve"> - เซาะร่อง(ผนังภายนอก)</t>
  </si>
  <si>
    <t>PVC 13.5</t>
  </si>
  <si>
    <t xml:space="preserve"> - Ø 1/2" </t>
  </si>
  <si>
    <t xml:space="preserve"> - Ø 3/4" </t>
  </si>
  <si>
    <t xml:space="preserve"> อุปกรณ์ข้อต่อ PVC ( หนา )</t>
  </si>
  <si>
    <t xml:space="preserve"> - ข้อต่องอ 90 º Ø 1/2"</t>
  </si>
  <si>
    <t>อัน</t>
  </si>
  <si>
    <t xml:space="preserve"> - ข้อต่องอ 90 º Ø 3/4"</t>
  </si>
  <si>
    <t xml:space="preserve"> - ข้อต่องอ 90° ลด Ø 3/4" x 1/2"</t>
  </si>
  <si>
    <t xml:space="preserve"> - ข้อต่อ 3 ทาง T Ø 1/2 "</t>
  </si>
  <si>
    <t xml:space="preserve"> - ข้อต่อ 3 ทาง T Ø 3/4 "</t>
  </si>
  <si>
    <t xml:space="preserve"> - ข้อต่อ 3 ทาง T ลด Ø 3/4" x 1/2"</t>
  </si>
  <si>
    <t xml:space="preserve"> - ข้อต่อตรง Ø 3/4"</t>
  </si>
  <si>
    <t xml:space="preserve"> - ข้อต่อตรงลด Ø 3/4" x 1/2"</t>
  </si>
  <si>
    <t xml:space="preserve"> - ข้อต่อยูเนี่ยน Ø 3/4"</t>
  </si>
  <si>
    <t xml:space="preserve"> - ฝาครอบปิดปลายท่อ Ø 1/2"</t>
  </si>
  <si>
    <t xml:space="preserve"> - STOP VALVE Ø 1/2"</t>
  </si>
  <si>
    <t xml:space="preserve"> อุปกรณ์ประกอบ PVC</t>
  </si>
  <si>
    <t>HOSEE BIBB</t>
  </si>
  <si>
    <t>มาตรวัดน้ำประปาประจำห้อง</t>
  </si>
  <si>
    <t xml:space="preserve"> - WATER METER Ø 3/4"</t>
  </si>
  <si>
    <t xml:space="preserve"> - GATE VALVE Ø 3/4"</t>
  </si>
  <si>
    <t xml:space="preserve"> - UNION Ø 3/4"</t>
  </si>
  <si>
    <t>PE_LSP CLASS M</t>
  </si>
  <si>
    <t xml:space="preserve"> - Ø 1" </t>
  </si>
  <si>
    <t xml:space="preserve"> - Ø 1 1/2" </t>
  </si>
  <si>
    <t xml:space="preserve"> - Ø 2" </t>
  </si>
  <si>
    <t xml:space="preserve"> - Ø 2 1/2" </t>
  </si>
  <si>
    <t xml:space="preserve"> - Ø 3" </t>
  </si>
  <si>
    <t xml:space="preserve"> อุปกรณ์ข้อต่อ PE</t>
  </si>
  <si>
    <t xml:space="preserve"> - ข้อต่องอ 90 º Ø 1 1/2"</t>
  </si>
  <si>
    <t xml:space="preserve"> - ข้อต่องอ 90 º Ø 2 1/2"</t>
  </si>
  <si>
    <t xml:space="preserve"> - ข้อต่องอ 90° ลด Ø 1" x 3/4"</t>
  </si>
  <si>
    <t xml:space="preserve"> - ข้อต่องอ 90° ลด Ø 1 1/2" x 3/4"</t>
  </si>
  <si>
    <t xml:space="preserve"> - ข้อต่อ 3 ทาง T Ø 1 1/2 "</t>
  </si>
  <si>
    <t xml:space="preserve"> - ข้อต่อ 3 ทาง T ลด Ø 1" x 3/4"</t>
  </si>
  <si>
    <t xml:space="preserve"> - ข้อต่อ 3 ทาง T ลด Ø 1 1/2" x 3/4"</t>
  </si>
  <si>
    <t xml:space="preserve"> - ข้อต่อ 3 ทาง T ลด Ø 3" x 2 1/2"</t>
  </si>
  <si>
    <t xml:space="preserve"> - ข้อต่อตรงลด Ø 1 1/2" x 1"</t>
  </si>
  <si>
    <t xml:space="preserve"> - ข้อต่อตรงลด Ø 2" x 1 1/2"</t>
  </si>
  <si>
    <t xml:space="preserve"> - ข้อต่อตรงลด Ø 2 1/2" x 2"</t>
  </si>
  <si>
    <t xml:space="preserve"> - ข้อต่อตรงลด Ø 3" x 2 1/2"</t>
  </si>
  <si>
    <t>HDPE PE100,PN10</t>
  </si>
  <si>
    <t xml:space="preserve"> - Ø 63 mm.</t>
  </si>
  <si>
    <t xml:space="preserve"> - Ø 90 mm.</t>
  </si>
  <si>
    <t xml:space="preserve"> อุปกรณ์ข้อต่อ HDPE (สวมอัด)</t>
  </si>
  <si>
    <t xml:space="preserve"> - ข้อต่อตรง Ø 63 x 63 mm.</t>
  </si>
  <si>
    <t xml:space="preserve"> - ข้อต่องตรงลด Ø 90 x 63 mm.</t>
  </si>
  <si>
    <t xml:space="preserve"> - ข้อต่อ 3 ทาง T  Ø 63 x 63 x 63 mm.</t>
  </si>
  <si>
    <t xml:space="preserve"> - ข้อต่อ 3 ทาง T  Ø 90 x 90 x 90 mm.</t>
  </si>
  <si>
    <t xml:space="preserve"> - แคล้มรัดท่อแยกเกลียวใน Ø 90 x 2"</t>
  </si>
  <si>
    <t xml:space="preserve"> - STUBEND Ø 63 x 63 mm.</t>
  </si>
  <si>
    <t xml:space="preserve"> - STUBEND Ø 90 x 90 mm.</t>
  </si>
  <si>
    <t xml:space="preserve"> อุปกรณ์ประกอบ HDPE </t>
  </si>
  <si>
    <t>GATE VALVE</t>
  </si>
  <si>
    <t xml:space="preserve"> - Ø 2" w/ หีบกุญแจสำเร็จรูป</t>
  </si>
  <si>
    <t>MODULATING FLOAT VALVE</t>
  </si>
  <si>
    <t>FOOT VALVE</t>
  </si>
  <si>
    <t xml:space="preserve">มาตรวัดน้ำประปา </t>
  </si>
  <si>
    <t xml:space="preserve"> - WATER METER Ø 2"</t>
  </si>
  <si>
    <t xml:space="preserve"> - GATE VALVE Ø 2"</t>
  </si>
  <si>
    <t xml:space="preserve"> - CHECK VALVE Ø 2"</t>
  </si>
  <si>
    <t xml:space="preserve"> - STRAINER Ø 2"</t>
  </si>
  <si>
    <t xml:space="preserve"> - UNION Ø 2"</t>
  </si>
  <si>
    <t xml:space="preserve"> - SUPPORT ค.ส.ล.</t>
  </si>
  <si>
    <t>วัสดุ+แรงงาน</t>
  </si>
  <si>
    <t xml:space="preserve"> BY PASS </t>
  </si>
  <si>
    <t xml:space="preserve"> - Gate Valve Ø 2"</t>
  </si>
  <si>
    <t xml:space="preserve"> - Check Valve Ø 2"</t>
  </si>
  <si>
    <t>อุปกรณ์ประกอบชุด PACKGED BOOSTER PUMP SET</t>
  </si>
  <si>
    <t xml:space="preserve"> - ถังอัดแรงดันชนิดไดอะแฟรม ปริมาตรถังไม่น้อยกว่า 200 ลิตร/ถัง</t>
  </si>
  <si>
    <t>ถัง</t>
  </si>
  <si>
    <t>แรงดันใช้งานไม่น้อยกว่า 10 บาร์ (ตามรายการประกอบแบบ)</t>
  </si>
  <si>
    <t xml:space="preserve"> - Gate Valve Ø 2" (ปกติปิด)</t>
  </si>
  <si>
    <t xml:space="preserve"> - Gate Valve Ø 3"</t>
  </si>
  <si>
    <t xml:space="preserve"> - Check Valve Ø 3"</t>
  </si>
  <si>
    <t xml:space="preserve"> - STRAINER Ø 3"</t>
  </si>
  <si>
    <t xml:space="preserve"> - Flexible Connector Ø 3"</t>
  </si>
  <si>
    <t xml:space="preserve"> - FLOOR DRAIN Ø 2 1/2" w/ P-TRAPØ 2" พร้อมอุปกรณ์ประกอบ</t>
  </si>
  <si>
    <t>550+237</t>
  </si>
  <si>
    <t>(ชุด FLOOR DRAIN อยู่ในห้องเครื่องสูบ) (เสนอ SHOP DRAWING)</t>
  </si>
  <si>
    <t>อุปกรณ์ประกอบชุด PACKGED BOOSTER PUMP SET (ต่อ)</t>
  </si>
  <si>
    <t xml:space="preserve"> - รางน้ำคอนกรีตเซาะร่อง กว้าง 10 cm. ลึก 5 cm. ยาว 11 m.</t>
  </si>
  <si>
    <t>(อยู่รอบห้องเครื่องสูบ)(เสนอ SHOP DRAWING)</t>
  </si>
  <si>
    <t xml:space="preserve"> - แท่น ค.ส.ล. รองรับ </t>
  </si>
  <si>
    <t xml:space="preserve"> - ติดตั้งถังเก็บน้ำขนาดความจุ 50.0 ลบ.ม.+รัดฝาถัง (LIGHT DUTY)</t>
  </si>
  <si>
    <t xml:space="preserve"> - Accessories &amp; Painting,Cleaning</t>
  </si>
  <si>
    <t xml:space="preserve"> - ดินขุดกลบคืน</t>
  </si>
  <si>
    <t xml:space="preserve"> - ทรายหยาบอัดแน่น</t>
  </si>
  <si>
    <t>ถังดับเพลิง</t>
  </si>
  <si>
    <t xml:space="preserve"> - เครื่องมือดับเพลิงมือถือ ชนิดผงเคมีแห้ง (ABC) ขนาดความจุของสารเคมี</t>
  </si>
  <si>
    <t>ที่ใช้ในการดับเพลิงไม่น้อยกว่า 15 ปอนด์ ความสามารถเทียบเท่า</t>
  </si>
  <si>
    <t>(FIRE RATING) ไม่น้อยกว่า 6A-20B</t>
  </si>
  <si>
    <t xml:space="preserve"> - เครื่องมือดับเพลิงมือถือ ชนิด CO2 ขนาดความจุของสารเคมี</t>
  </si>
  <si>
    <t>(FIRE RATING) ไม่น้อยกว่า 10B:C</t>
  </si>
  <si>
    <t xml:space="preserve"> ท่อโสโครก</t>
  </si>
  <si>
    <t xml:space="preserve"> PVC 8.5</t>
  </si>
  <si>
    <t xml:space="preserve"> - Ø 4" </t>
  </si>
  <si>
    <t xml:space="preserve"> อุปกรณ์ข้อต่อ PVC ( บาง )</t>
  </si>
  <si>
    <t xml:space="preserve"> - ข้อต่องอ 45 º Ø 4"</t>
  </si>
  <si>
    <t xml:space="preserve"> - ข้อต่องอ 90 º Ø 4"</t>
  </si>
  <si>
    <t xml:space="preserve"> - ข้อต่อตรงลด Ø 4" x 2"</t>
  </si>
  <si>
    <t xml:space="preserve"> - ข้อต่อ 3 ทาง  Y Ø 4"</t>
  </si>
  <si>
    <t xml:space="preserve"> - ข้อต่อ 3 ทาง  TY Ø 4"</t>
  </si>
  <si>
    <t xml:space="preserve"> - ข้อต่อต่อตรง H ช่วงสั้น Ø 5"</t>
  </si>
  <si>
    <t xml:space="preserve"> อุปกรณ์ประกอบ PVC </t>
  </si>
  <si>
    <t xml:space="preserve"> FLOOR CLEAN OUT</t>
  </si>
  <si>
    <t xml:space="preserve"> ท่อโสโครก (ต่อ)</t>
  </si>
  <si>
    <t xml:space="preserve"> CLEAN OUT</t>
  </si>
  <si>
    <t>FLEXIBLE CONNECTER</t>
  </si>
  <si>
    <t xml:space="preserve"> ชุดถังบำบัด </t>
  </si>
  <si>
    <t xml:space="preserve"> - ถังบำบัดน้ำเสียสำเร็จรูป แบบที่ 3 ( ขนาด 15-25)</t>
  </si>
  <si>
    <t xml:space="preserve"> - ฐาน ค.ส.ล.รองรับ+รัดฝาถัง</t>
  </si>
  <si>
    <t>ฐาน</t>
  </si>
  <si>
    <t xml:space="preserve"> ท่อน้ำทิ้ง </t>
  </si>
  <si>
    <t xml:space="preserve"> ท่อน้ำทิ้ง (ต่อ)</t>
  </si>
  <si>
    <t xml:space="preserve"> - ข้อต่องอ 45 º Ø 1 1/2"</t>
  </si>
  <si>
    <t xml:space="preserve"> - ข้อต่องอ 45 º Ø 2"</t>
  </si>
  <si>
    <t xml:space="preserve"> - ข้อต่องอ 45 º Ø 2 1/2"</t>
  </si>
  <si>
    <t xml:space="preserve"> - ข้อต่องอ 45 º Ø 3"</t>
  </si>
  <si>
    <t xml:space="preserve"> - ข้อต่องอ 90 º Ø 2"</t>
  </si>
  <si>
    <t xml:space="preserve"> - ข้อต่อ 4 ทาง  Y Ø 4"</t>
  </si>
  <si>
    <t xml:space="preserve"> - ข้อต่อ 3 ทาง  Y Ø 2"</t>
  </si>
  <si>
    <t xml:space="preserve"> - ข้อต่อ 3 ทาง  Y Ø 2 1/2"</t>
  </si>
  <si>
    <t xml:space="preserve"> - ข้อต่อ 3 ทาง Y ลด Ø 4" x 3"</t>
  </si>
  <si>
    <t xml:space="preserve"> - ข้อต่อ 3 ทาง  TY Ø 2"</t>
  </si>
  <si>
    <t xml:space="preserve"> - ข้อต่อ 3 ทาง T ลด Ø 2" x 1 1/2"</t>
  </si>
  <si>
    <t xml:space="preserve"> FLOOR DRAIN</t>
  </si>
  <si>
    <t xml:space="preserve"> P-TRAP</t>
  </si>
  <si>
    <t xml:space="preserve"> ท่ออากาศ</t>
  </si>
  <si>
    <t xml:space="preserve"> - ข้อต่อ 3 ทาง  T Ø 2"</t>
  </si>
  <si>
    <t>VENT THROUGH WALL</t>
  </si>
  <si>
    <t xml:space="preserve"> ท่อน้ำฝน</t>
  </si>
  <si>
    <t>RDF(BELL TRAP)</t>
  </si>
  <si>
    <t>จุด</t>
  </si>
  <si>
    <t xml:space="preserve"> - ข้อต่องอ 90°  Ø 63 x 63 mm.</t>
  </si>
  <si>
    <t xml:space="preserve"> - ข้อต่องอ 90°  Ø 90 x 90 mm.</t>
  </si>
  <si>
    <t xml:space="preserve"> - งานระบบประปาภายใน</t>
  </si>
  <si>
    <t xml:space="preserve"> รวมเงินงานระบบประปาภายใน</t>
  </si>
  <si>
    <t xml:space="preserve"> - Ø 110 mm.</t>
  </si>
  <si>
    <t xml:space="preserve"> - ข้อต่อตรง Ø 110 x 110 mm.</t>
  </si>
  <si>
    <t xml:space="preserve"> - ข้อต่องตรงลด Ø 75 x 63 mm.</t>
  </si>
  <si>
    <t xml:space="preserve"> - ข้อต่องตรงลด Ø 110 x 90 mm.</t>
  </si>
  <si>
    <t xml:space="preserve"> - ข้อต่อ 3 ทาง T  Ø 110 x 110 x 110 mm.</t>
  </si>
  <si>
    <t xml:space="preserve"> - แคล้มรัดท่อแยกเกลียวใน Ø 110 x 3/4"</t>
  </si>
  <si>
    <t xml:space="preserve">อุปกรณ์ประกอบ </t>
  </si>
  <si>
    <t xml:space="preserve"> - Ø 2 1/2" w/ หีบกุญแจสำเร็จรูป</t>
  </si>
  <si>
    <t xml:space="preserve"> - Ø 4" w/ หีบกุญแจสำเร็จรูป</t>
  </si>
  <si>
    <t xml:space="preserve"> - AIR VALVE Ø 1"  (ตามรายการประกอบแบบ)</t>
  </si>
  <si>
    <t>4100+900+4500</t>
  </si>
  <si>
    <t xml:space="preserve"> VALVE BOX 1</t>
  </si>
  <si>
    <t xml:space="preserve"> - บ่อ VALVE (รายละเอียดตามแบบ)</t>
  </si>
  <si>
    <t>บ่อ</t>
  </si>
  <si>
    <t xml:space="preserve"> - ท่อ GSP Ø 4"</t>
  </si>
  <si>
    <t xml:space="preserve"> - ท่อ HDPE Ø 110 mm.</t>
  </si>
  <si>
    <t xml:space="preserve"> - GATE VALVE Ø 4"</t>
  </si>
  <si>
    <t xml:space="preserve"> - FLEXIBLE CONNECTOR Ø 4"</t>
  </si>
  <si>
    <t xml:space="preserve"> - ป้ายบอกแนวท่อ</t>
  </si>
  <si>
    <t xml:space="preserve"> หัวดับเพลิง</t>
  </si>
  <si>
    <t>1 ชุด</t>
  </si>
  <si>
    <t xml:space="preserve"> - ท่อ SP Ø 4"</t>
  </si>
  <si>
    <t xml:space="preserve"> - หัวแกละดับเพลิง</t>
  </si>
  <si>
    <t xml:space="preserve"> - SURFACE BOX</t>
  </si>
  <si>
    <t xml:space="preserve"> - หลอดกันดิน</t>
  </si>
  <si>
    <t xml:space="preserve"> - GATE VALVE Ø 4" (Non-Rising)</t>
  </si>
  <si>
    <t xml:space="preserve"> - ท่อโค้งตีนเป็ด 90° x 100 mm.</t>
  </si>
  <si>
    <t xml:space="preserve"> - ท่อโค้ง 90° x 100 mm.หน้าจานคู่</t>
  </si>
  <si>
    <t xml:space="preserve"> - ท่อสั้นหน้าจานคู่ Ø 110 mm.</t>
  </si>
  <si>
    <t xml:space="preserve"> - แท่น ค.ส.ล. ขนาด 0.60×0.85×0.15 m.เสริมเหล็ก Ø 6 mm.@ 0.15 m.</t>
  </si>
  <si>
    <t xml:space="preserve"> - แท่น ค.ส.ล.ขนาด 0.40×0.40×0.15 m.เสริมเหล็ก Ø 9 mm.@ 0.15 m.</t>
  </si>
  <si>
    <t xml:space="preserve"> - แท่น ค.ส.ล. รองรับประตูน้ำ เสริมเหล็ก Ø 9 mm.@ 0.15 m.</t>
  </si>
  <si>
    <t xml:space="preserve"> ท่อ ค.ส.ล. ชั้น 2</t>
  </si>
  <si>
    <t xml:space="preserve"> - Ø 0.40 m. </t>
  </si>
  <si>
    <t xml:space="preserve"> ท่อ ค.ส.ล. ชั้น 3</t>
  </si>
  <si>
    <t xml:space="preserve"> - Ø 0.50 m. </t>
  </si>
  <si>
    <t>รางระบายน้ำ</t>
  </si>
  <si>
    <t xml:space="preserve"> - รางระบายน้ำ ค.ส.ล. ขนาดกว้างภายใน 0.30 ม. ฝา D2 (ตามแบบ)</t>
  </si>
  <si>
    <t xml:space="preserve"> - รางระบายน้ำดินขุดเดิม ความยาวประมาณ 80 m. ขุดลอกใหม่ให้พร้อม</t>
  </si>
  <si>
    <t>150/ม.</t>
  </si>
  <si>
    <t>ใช้งาน (ตามรายการประกอบแบบ)</t>
  </si>
  <si>
    <t xml:space="preserve"> - รางระบายน้ำดินขุด พร้อมขุดดิน,งานปรับพื้นผิว </t>
  </si>
  <si>
    <t>จากเดิมเป็นงานหินเรียง</t>
  </si>
  <si>
    <t>380/ม.</t>
  </si>
  <si>
    <t xml:space="preserve">(ตามรายการประกอบแบบ) </t>
  </si>
  <si>
    <t xml:space="preserve"> - ท่อ ค.ส.ล. ขนาด 0.60 m.(ความยาวประมาณ 7 m./จุด) พร้อมกำแพง</t>
  </si>
  <si>
    <t>ค่าท่อ799.21</t>
  </si>
  <si>
    <t>กันน้ำเซาะที่ปลายท่อ จำนวน 4 ชุด (รายละเอียดตามแบบ)</t>
  </si>
  <si>
    <t xml:space="preserve"> บ่อพักน้ำ</t>
  </si>
  <si>
    <t xml:space="preserve"> บ่อพักน้ำ ค.ส.ล. ฝาคอนกรีตเสริมเหล็ก</t>
  </si>
  <si>
    <t xml:space="preserve"> - MH 3</t>
  </si>
  <si>
    <t xml:space="preserve"> - MH 4</t>
  </si>
  <si>
    <t xml:space="preserve"> - MH 5</t>
  </si>
  <si>
    <t xml:space="preserve"> บ่อพักน้ำ ค.ส.ล. ฝาตะแกรงเหล็ก</t>
  </si>
  <si>
    <t xml:space="preserve"> - ปูนยาแนวท่อ</t>
  </si>
  <si>
    <t>&gt;&gt;รวมประปาภายนอก</t>
  </si>
  <si>
    <t>งานระบบไฟฟ้าภายนอก</t>
  </si>
  <si>
    <t>งานระบบประปาภายนอก</t>
  </si>
  <si>
    <t>ครุภัณฑ์ระบบประปา</t>
  </si>
  <si>
    <t>ถังเก็บน้ำ (ใต้ดิน)</t>
  </si>
  <si>
    <t xml:space="preserve"> - ถังเก็บน้ำสำเร็จรูป (ไฟเบอร์กลาสเสริมแรง) ทรงกระบอกหนาแนวนอน</t>
  </si>
  <si>
    <t xml:space="preserve">  ชนิดวางใต้ดิน ขนาดความจุไม่น้อยกว่า 50 ลบ.ม. </t>
  </si>
  <si>
    <t>เครื่องสูบน้ำ</t>
  </si>
  <si>
    <t xml:space="preserve"> - เครื่องสูบน้ำเสริมแรงดัน 1ชุด จำนวน 2 เครื่อง  พร้อมระบบควบคุม</t>
  </si>
  <si>
    <t>End Suction, Horizontal, Multistage or single stage, Close Coupled,</t>
  </si>
  <si>
    <t xml:space="preserve">Centrifugal Pumps </t>
  </si>
  <si>
    <t>อัตราการสูบจ่ายไม่น้อยกว่า 20 ลบ./ม. ต่อชั่วโมง ที่ TDH 30 ม.</t>
  </si>
  <si>
    <t>ขับด้วยมอเตอร์ไฟฟ้า (TEFC) ขนาดไม่น้อยกว่า 2.0 กิโลวัตต์/ชุด</t>
  </si>
  <si>
    <t>(รายละเอียดตามรายการประกอบแบบ)</t>
  </si>
  <si>
    <t xml:space="preserve"> - ครุภัณฑ์ระบบประปา</t>
  </si>
  <si>
    <t>ครุภัณฑ์ระบบประปา 2 หลัง</t>
  </si>
  <si>
    <t>ระบบสัญญาณเตือนอัคคีภัย 2 หลัง</t>
  </si>
  <si>
    <t>งานระบบประปาภายใน 2 หลัง</t>
  </si>
  <si>
    <t>งานอาคารนายทหารประทวนโสด</t>
  </si>
  <si>
    <t>งานครุภัณฑ์</t>
  </si>
  <si>
    <t>ครุภัณฑ์</t>
  </si>
  <si>
    <t>งานระบบระบายน้ำ</t>
  </si>
  <si>
    <t>งานดับเพลิง</t>
  </si>
  <si>
    <t xml:space="preserve">งานระบบประปาภายใน </t>
  </si>
  <si>
    <t xml:space="preserve">งานระบบสุขาภิบาลภายใน </t>
  </si>
  <si>
    <t>งานระบบสุขาภิบาลภายใน</t>
  </si>
  <si>
    <t xml:space="preserve">หมายเหตุ  :  ใช้ FACTOR F ที่ปรับปรุงและทบทวน ของ กรมบัญชีกลาง ล่าสุด  ตามหนังสือเวียน  </t>
  </si>
  <si>
    <t xml:space="preserve">ที่ กค.0405.3/ ว.364 เมื่อวันที่  15 ก.ย. 2559 </t>
  </si>
  <si>
    <t>ค่าจัดซื้อ</t>
  </si>
  <si>
    <t xml:space="preserve"> - งานบดอัด</t>
  </si>
  <si>
    <t>งานจ้างก่อสร้างอาคารพักนายทหารประทวนโสด (NCOQ) พร้อมสิ่งอำนวยความสะดวก ของ สอ.รฝ. จำนวน 2 หลัง</t>
  </si>
  <si>
    <t>62-2-101,63-5-006,62-4-030</t>
  </si>
  <si>
    <t>สอ.รฝ.</t>
  </si>
  <si>
    <t xml:space="preserve">หน่วยงานเจ้าของโครงการ/งานก่อสร้าง    </t>
  </si>
  <si>
    <t>ประตู-หน้าต่าง</t>
  </si>
  <si>
    <t xml:space="preserve"> - ป1</t>
  </si>
  <si>
    <t xml:space="preserve"> - ป2</t>
  </si>
  <si>
    <t xml:space="preserve"> - ป3</t>
  </si>
  <si>
    <t xml:space="preserve"> - ป4</t>
  </si>
  <si>
    <t xml:space="preserve"> - ป5</t>
  </si>
  <si>
    <t xml:space="preserve"> - ป6</t>
  </si>
  <si>
    <t xml:space="preserve"> - น1</t>
  </si>
  <si>
    <t xml:space="preserve"> - น2</t>
  </si>
  <si>
    <t xml:space="preserve"> - น3</t>
  </si>
  <si>
    <t xml:space="preserve"> - น4</t>
  </si>
  <si>
    <t xml:space="preserve"> - น5</t>
  </si>
  <si>
    <t xml:space="preserve"> - น6</t>
  </si>
  <si>
    <t>งานสุขภัณฑ์</t>
  </si>
  <si>
    <t xml:space="preserve"> - โถส้วมนั่งราบพร้อมหม้อน้ำ</t>
  </si>
  <si>
    <t xml:space="preserve"> - อ่างล้างหน้าชนิดแขวนผนัง</t>
  </si>
  <si>
    <t xml:space="preserve"> - สายอ่อนชำระพร้อมวาล์ว</t>
  </si>
  <si>
    <t xml:space="preserve"> - ฝักบัวก้านอ่อน</t>
  </si>
  <si>
    <t xml:space="preserve"> - ที่ใส่กระดาษชำระ</t>
  </si>
  <si>
    <t xml:space="preserve"> - ที่ใส่สบู่</t>
  </si>
  <si>
    <t xml:space="preserve"> - ราวแขวนผ้า</t>
  </si>
  <si>
    <t xml:space="preserve"> - กระจกเงาปรับได้+ชั้นวางของ</t>
  </si>
  <si>
    <t xml:space="preserve"> - พื้นกระเบื้องเซรามิคลายไม้ ขนาด 0.30x0.30 ม.</t>
  </si>
  <si>
    <t xml:space="preserve"> - ฉนวนกันความร้อนใต้หลังคา</t>
  </si>
  <si>
    <t xml:space="preserve"> -  งานถนนหินคลุกราดน้ำยาง</t>
  </si>
  <si>
    <t>คณะกรรมการกำหนดราคากลาง</t>
  </si>
  <si>
    <t>น.อ.</t>
  </si>
  <si>
    <t>น.ท.</t>
  </si>
  <si>
    <t>น.ต.</t>
  </si>
  <si>
    <t>ร.ต.</t>
  </si>
  <si>
    <t>ประธานกรรมการ</t>
  </si>
  <si>
    <t>กรรมการ</t>
  </si>
  <si>
    <t>กรรมการและเลขานุการ</t>
  </si>
  <si>
    <t>สมหมาย  แสวงกิจ</t>
  </si>
  <si>
    <t>อนวัช  วรรณศรี</t>
  </si>
  <si>
    <t>สมศักดิ์  อุนานุยา</t>
  </si>
  <si>
    <t>ธีรทัต  กงทอง</t>
  </si>
  <si>
    <t>ชาญวิทย์  ยาม่วง</t>
  </si>
  <si>
    <t xml:space="preserve">   BULB LAMP (1,080 lm.)</t>
  </si>
  <si>
    <t xml:space="preserve"> - DOWNLIGHT LUMINAIR (ERECESS TYPE)1x ~12 W. LED </t>
  </si>
  <si>
    <t xml:space="preserve"> - งานทดสอบความหนาแน่นบดอัด ชั้นดินเดิมหรือดินถม,ชั้นดินลูกรัง 
และชั้นหินคลุก</t>
  </si>
  <si>
    <t xml:space="preserve"> - งานกำจัดปลวกโดยดำเนินการฉีดน้ำยากำจัดปลวกลงในดินใต้อาคาร
ที่ก่อสร้างและโดยรอบอีก 3 เมตร</t>
  </si>
  <si>
    <t xml:space="preserve"> - งานสกัดหัวเสาเข็มเจาะ ขนาด f  0.35 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</si>
</sst>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3" formatCode="_-* #,##0.00_-;\-* #,##0.00_-;_-* &quot;-&quot;??_-;_-@_-"/>
    <numFmt numFmtId="187" formatCode="_(* #,##0.00_);_(* \(#,##0.00\);_(* &quot;-&quot;??_);_(@_)"/>
    <numFmt numFmtId="188" formatCode="#,##0.\-"/>
    <numFmt numFmtId="189" formatCode="_(* #,##0_);_(* \(#,##0\);_(* &quot;-&quot;??_);_(@_)"/>
    <numFmt numFmtId="190" formatCode="_-* #,##0_-;\-* #,##0_-;_-* &quot;-&quot;??_-;_-@_-"/>
    <numFmt numFmtId="191" formatCode="0.0%"/>
    <numFmt numFmtId="192" formatCode="0.0000"/>
    <numFmt numFmtId="193" formatCode="#,###.\-"/>
    <numFmt numFmtId="194" formatCode="0.000%"/>
    <numFmt numFmtId="195" formatCode="#,###\-"/>
    <numFmt numFmtId="196" formatCode="[$-107041E]\ mmmm\ yy;@"/>
    <numFmt numFmtId="197" formatCode="#,###\ &quot; แผ่น &quot;"/>
    <numFmt numFmtId="198" formatCode="&quot;แบบ ปร.4 และ ปร.5 ที่แนบ มีจำนวน    &quot;#,###&quot;    แผ่น &quot;"/>
    <numFmt numFmtId="199" formatCode="&quot;มีจำนวน &quot;#,###&quot; แผ่น&quot;"/>
    <numFmt numFmtId="200" formatCode="&quot;&gt; &quot;#,###"/>
    <numFmt numFmtId="201" formatCode="\-"/>
  </numFmts>
  <fonts count="50">
    <font>
      <sz val="14"/>
      <name val="CordiaUPC"/>
    </font>
    <font>
      <sz val="14"/>
      <name val="CordiaUPC"/>
      <family val="2"/>
      <charset val="222"/>
    </font>
    <font>
      <sz val="14"/>
      <name val="Cordia New"/>
      <family val="2"/>
    </font>
    <font>
      <sz val="8"/>
      <name val="CordiaUPC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4"/>
      <name val="TH Sarabun New"/>
      <family val="2"/>
    </font>
    <font>
      <sz val="18"/>
      <name val="TH Sarabun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UPC"/>
      <family val="2"/>
    </font>
    <font>
      <sz val="16"/>
      <name val="CordiaUPC"/>
      <family val="2"/>
    </font>
    <font>
      <b/>
      <sz val="16"/>
      <color rgb="FF0000FF"/>
      <name val="CordiaUPC"/>
      <family val="2"/>
    </font>
    <font>
      <sz val="14"/>
      <name val="CordiaUPC"/>
      <family val="2"/>
    </font>
    <font>
      <sz val="14"/>
      <color rgb="FFFF0000"/>
      <name val="CordiaUPC"/>
      <family val="2"/>
    </font>
    <font>
      <sz val="14"/>
      <color rgb="FF0000FF"/>
      <name val="CordiaUPC"/>
      <family val="2"/>
    </font>
    <font>
      <b/>
      <sz val="18"/>
      <color rgb="FF0000FF"/>
      <name val="CordiaUPC"/>
      <family val="2"/>
    </font>
    <font>
      <b/>
      <sz val="14"/>
      <color rgb="FF0000FF"/>
      <name val="TH SarabunPSK"/>
      <family val="2"/>
    </font>
    <font>
      <b/>
      <sz val="16"/>
      <color rgb="FF0000FF"/>
      <name val="TH SarabunPSK"/>
      <family val="2"/>
    </font>
    <font>
      <b/>
      <sz val="14"/>
      <color theme="1"/>
      <name val="TH SarabunPSK"/>
      <family val="2"/>
    </font>
    <font>
      <sz val="14"/>
      <color rgb="FF0000FF"/>
      <name val="TH SarabunPSK"/>
      <family val="2"/>
    </font>
    <font>
      <sz val="14"/>
      <name val="Symbol"/>
      <family val="1"/>
      <charset val="2"/>
    </font>
    <font>
      <sz val="14"/>
      <color theme="1"/>
      <name val="TH SarabunPSK"/>
      <family val="2"/>
    </font>
    <font>
      <sz val="16"/>
      <color rgb="FF0000FF"/>
      <name val="TH SarabunPSK"/>
      <family val="2"/>
    </font>
    <font>
      <b/>
      <sz val="14"/>
      <color rgb="FF0000FF"/>
      <name val="TH Sarabun New"/>
      <family val="2"/>
    </font>
    <font>
      <sz val="14"/>
      <color rgb="FF0000FF"/>
      <name val="TH Sarabun New"/>
      <family val="2"/>
    </font>
    <font>
      <b/>
      <sz val="9"/>
      <color indexed="81"/>
      <name val="Tahoma"/>
      <family val="2"/>
    </font>
    <font>
      <b/>
      <sz val="20"/>
      <color rgb="FF0000FF"/>
      <name val="CordiaUPC"/>
      <family val="2"/>
    </font>
    <font>
      <sz val="12"/>
      <color theme="3" tint="0.39997558519241921"/>
      <name val="CordiaUPC"/>
      <family val="2"/>
    </font>
    <font>
      <sz val="14"/>
      <name val="Calibri"/>
      <family val="2"/>
    </font>
    <font>
      <b/>
      <u/>
      <sz val="14"/>
      <color rgb="FF0000FF"/>
      <name val="TH SarabunPSK"/>
      <family val="2"/>
    </font>
    <font>
      <sz val="9"/>
      <color indexed="81"/>
      <name val="Tahoma"/>
      <family val="2"/>
    </font>
    <font>
      <b/>
      <u/>
      <sz val="14"/>
      <name val="TH Sarabun New"/>
      <family val="2"/>
    </font>
    <font>
      <sz val="14"/>
      <color indexed="8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6"/>
      <name val="TH Sarabun New"/>
      <family val="2"/>
    </font>
    <font>
      <b/>
      <sz val="16"/>
      <color rgb="FF0000FF"/>
      <name val="TH Sarabun New"/>
      <family val="2"/>
    </font>
    <font>
      <sz val="10"/>
      <name val="Arial"/>
      <family val="2"/>
    </font>
    <font>
      <b/>
      <u/>
      <sz val="14"/>
      <name val="TH SarabunPSK"/>
      <family val="2"/>
    </font>
    <font>
      <sz val="12"/>
      <name val="TH SarabunPSK"/>
      <family val="2"/>
    </font>
    <font>
      <b/>
      <sz val="14"/>
      <color rgb="FFDAFEE9"/>
      <name val="TH SarabunPSK"/>
      <family val="2"/>
    </font>
    <font>
      <b/>
      <sz val="10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AFEE9"/>
        <bgColor indexed="64"/>
      </patternFill>
    </fill>
    <fill>
      <patternFill patternType="solid">
        <fgColor rgb="FFFCE3E0"/>
        <bgColor indexed="64"/>
      </patternFill>
    </fill>
    <fill>
      <patternFill patternType="solid">
        <fgColor rgb="FFBAFBB7"/>
        <bgColor indexed="64"/>
      </patternFill>
    </fill>
    <fill>
      <patternFill patternType="solid">
        <fgColor rgb="FFD6ECF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10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rgb="FF0099FF"/>
      </left>
      <right style="thick">
        <color rgb="FF0099FF"/>
      </right>
      <top style="thick">
        <color rgb="FF0099FF"/>
      </top>
      <bottom style="thick">
        <color rgb="FF0099FF"/>
      </bottom>
      <diagonal/>
    </border>
    <border>
      <left style="thick">
        <color rgb="FF0099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99FF"/>
      </right>
      <top/>
      <bottom style="thin">
        <color indexed="64"/>
      </bottom>
      <diagonal/>
    </border>
    <border>
      <left style="thick">
        <color rgb="FF0099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99FF"/>
      </right>
      <top style="thin">
        <color indexed="64"/>
      </top>
      <bottom style="thin">
        <color indexed="64"/>
      </bottom>
      <diagonal/>
    </border>
    <border>
      <left style="thick">
        <color rgb="FF0099FF"/>
      </left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 style="thick">
        <color rgb="FF0099FF"/>
      </right>
      <top style="thin">
        <color indexed="64"/>
      </top>
      <bottom style="thick">
        <color rgb="FF0099FF"/>
      </bottom>
      <diagonal/>
    </border>
    <border>
      <left style="thick">
        <color rgb="FF0099FF"/>
      </left>
      <right style="thick">
        <color rgb="FF0099FF"/>
      </right>
      <top style="thin">
        <color indexed="64"/>
      </top>
      <bottom style="thick">
        <color rgb="FF0099FF"/>
      </bottom>
      <diagonal/>
    </border>
    <border>
      <left style="thick">
        <color rgb="FF0099FF"/>
      </left>
      <right/>
      <top/>
      <bottom style="thick">
        <color rgb="FF0099FF"/>
      </bottom>
      <diagonal/>
    </border>
    <border>
      <left/>
      <right/>
      <top/>
      <bottom style="thick">
        <color rgb="FF0099FF"/>
      </bottom>
      <diagonal/>
    </border>
    <border>
      <left/>
      <right style="thick">
        <color rgb="FF0099FF"/>
      </right>
      <top/>
      <bottom style="thick">
        <color rgb="FF0099FF"/>
      </bottom>
      <diagonal/>
    </border>
    <border>
      <left style="thick">
        <color rgb="FF0099FF"/>
      </left>
      <right/>
      <top style="thick">
        <color rgb="FF0099FF"/>
      </top>
      <bottom style="thick">
        <color rgb="FF0099FF"/>
      </bottom>
      <diagonal/>
    </border>
    <border>
      <left/>
      <right/>
      <top style="thick">
        <color rgb="FF0099FF"/>
      </top>
      <bottom style="thick">
        <color rgb="FF0099FF"/>
      </bottom>
      <diagonal/>
    </border>
    <border>
      <left/>
      <right style="thick">
        <color rgb="FF0099FF"/>
      </right>
      <top style="thick">
        <color rgb="FF0099FF"/>
      </top>
      <bottom style="thick">
        <color rgb="FF0099FF"/>
      </bottom>
      <diagonal/>
    </border>
    <border>
      <left style="thick">
        <color rgb="FF0099FF"/>
      </left>
      <right style="thick">
        <color rgb="FF0099FF"/>
      </right>
      <top style="thick">
        <color rgb="FF0099FF"/>
      </top>
      <bottom style="thin">
        <color indexed="64"/>
      </bottom>
      <diagonal/>
    </border>
    <border>
      <left style="thick">
        <color rgb="FF0099FF"/>
      </left>
      <right style="thick">
        <color rgb="FF0099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0099FF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theme="1" tint="0.34998626667073579"/>
      </right>
      <top style="hair">
        <color indexed="64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medium">
        <color theme="1" tint="0.34998626667073579"/>
      </top>
      <bottom style="hair">
        <color indexed="64"/>
      </bottom>
      <diagonal/>
    </border>
    <border>
      <left/>
      <right/>
      <top style="medium">
        <color theme="1" tint="0.34998626667073579"/>
      </top>
      <bottom style="hair">
        <color indexed="64"/>
      </bottom>
      <diagonal/>
    </border>
    <border>
      <left/>
      <right style="thin">
        <color indexed="64"/>
      </right>
      <top style="medium">
        <color theme="1" tint="0.34998626667073579"/>
      </top>
      <bottom style="hair">
        <color indexed="64"/>
      </bottom>
      <diagonal/>
    </border>
    <border>
      <left style="thin">
        <color indexed="64"/>
      </left>
      <right style="medium">
        <color theme="1" tint="0.34998626667073579"/>
      </right>
      <top style="medium">
        <color theme="1" tint="0.34998626667073579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/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theme="1" tint="0.34998626667073579"/>
      </left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/>
      <right/>
      <top style="hair">
        <color indexed="64"/>
      </top>
      <bottom style="medium">
        <color theme="1" tint="0.34998626667073579"/>
      </bottom>
      <diagonal/>
    </border>
    <border>
      <left/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 style="thin">
        <color indexed="64"/>
      </left>
      <right style="medium">
        <color theme="1" tint="0.34998626667073579"/>
      </right>
      <top style="hair">
        <color indexed="64"/>
      </top>
      <bottom style="medium">
        <color theme="1" tint="0.34998626667073579"/>
      </bottom>
      <diagonal/>
    </border>
    <border>
      <left style="thick">
        <color rgb="FF0099FF"/>
      </left>
      <right style="thin">
        <color indexed="64"/>
      </right>
      <top style="thick">
        <color rgb="FF0099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theme="1" tint="0.34998626667073579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 style="thin">
        <color indexed="64"/>
      </top>
      <bottom style="thick">
        <color rgb="FF0099FF"/>
      </bottom>
      <diagonal/>
    </border>
    <border>
      <left style="thick">
        <color rgb="FF0099FF"/>
      </left>
      <right/>
      <top style="thin">
        <color indexed="64"/>
      </top>
      <bottom style="thin">
        <color indexed="64"/>
      </bottom>
      <diagonal/>
    </border>
    <border>
      <left style="thick">
        <color rgb="FF0099FF"/>
      </left>
      <right/>
      <top style="thin">
        <color indexed="64"/>
      </top>
      <bottom style="thick">
        <color rgb="FF0099FF"/>
      </bottom>
      <diagonal/>
    </border>
    <border>
      <left style="thin">
        <color indexed="64"/>
      </left>
      <right/>
      <top style="thin">
        <color indexed="64"/>
      </top>
      <bottom style="thick">
        <color rgb="FF0099FF"/>
      </bottom>
      <diagonal/>
    </border>
    <border>
      <left/>
      <right style="thin">
        <color indexed="64"/>
      </right>
      <top style="thick">
        <color rgb="FF0099FF"/>
      </top>
      <bottom/>
      <diagonal/>
    </border>
    <border>
      <left/>
      <right/>
      <top style="thick">
        <color rgb="FF0099FF"/>
      </top>
      <bottom/>
      <diagonal/>
    </border>
    <border>
      <left style="thin">
        <color indexed="64"/>
      </left>
      <right/>
      <top style="thick">
        <color rgb="FF0099FF"/>
      </top>
      <bottom/>
      <diagonal/>
    </border>
    <border>
      <left/>
      <right style="thick">
        <color rgb="FF0099FF"/>
      </right>
      <top style="thick">
        <color rgb="FF0099FF"/>
      </top>
      <bottom/>
      <diagonal/>
    </border>
    <border>
      <left style="thick">
        <color rgb="FF0099FF"/>
      </left>
      <right/>
      <top/>
      <bottom style="thin">
        <color indexed="64"/>
      </bottom>
      <diagonal/>
    </border>
    <border>
      <left/>
      <right style="thick">
        <color rgb="FF0099FF"/>
      </right>
      <top/>
      <bottom style="thin">
        <color indexed="64"/>
      </bottom>
      <diagonal/>
    </border>
    <border>
      <left style="thick">
        <color rgb="FF0099FF"/>
      </left>
      <right/>
      <top style="thick">
        <color rgb="FF0099FF"/>
      </top>
      <bottom style="thin">
        <color indexed="64"/>
      </bottom>
      <diagonal/>
    </border>
    <border>
      <left/>
      <right/>
      <top style="thick">
        <color rgb="FF0099FF"/>
      </top>
      <bottom style="thin">
        <color indexed="64"/>
      </bottom>
      <diagonal/>
    </border>
    <border>
      <left/>
      <right style="thin">
        <color indexed="64"/>
      </right>
      <top style="thick">
        <color rgb="FF0099FF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99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4" fillId="0" borderId="0"/>
    <xf numFmtId="187" fontId="14" fillId="0" borderId="0" applyFont="0" applyFill="0" applyBorder="0" applyAlignment="0" applyProtection="0"/>
    <xf numFmtId="187" fontId="14" fillId="0" borderId="0" applyFont="0" applyFill="0" applyBorder="0" applyAlignment="0" applyProtection="0"/>
    <xf numFmtId="43" fontId="42" fillId="0" borderId="0" applyFont="0" applyFill="0" applyBorder="0" applyAlignment="0" applyProtection="0"/>
  </cellStyleXfs>
  <cellXfs count="778">
    <xf numFmtId="0" fontId="0" fillId="0" borderId="0" xfId="0"/>
    <xf numFmtId="0" fontId="6" fillId="0" borderId="0" xfId="0" applyFont="1" applyAlignment="1">
      <alignment vertical="center"/>
    </xf>
    <xf numFmtId="188" fontId="6" fillId="0" borderId="0" xfId="1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88" fontId="5" fillId="0" borderId="0" xfId="1" applyNumberFormat="1" applyFont="1" applyBorder="1" applyAlignment="1">
      <alignment vertical="center"/>
    </xf>
    <xf numFmtId="188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188" fontId="4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3" applyFont="1" applyAlignment="1">
      <alignment vertical="center"/>
    </xf>
    <xf numFmtId="0" fontId="13" fillId="0" borderId="0" xfId="3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4" fillId="0" borderId="4" xfId="3" applyFont="1" applyBorder="1" applyAlignment="1">
      <alignment horizontal="left" vertical="center"/>
    </xf>
    <xf numFmtId="0" fontId="4" fillId="0" borderId="0" xfId="3" applyFont="1" applyBorder="1" applyAlignment="1">
      <alignment vertical="center"/>
    </xf>
    <xf numFmtId="0" fontId="5" fillId="0" borderId="0" xfId="3" applyFont="1" applyBorder="1" applyAlignment="1">
      <alignment horizontal="left" vertical="center"/>
    </xf>
    <xf numFmtId="0" fontId="5" fillId="0" borderId="0" xfId="3" applyFont="1" applyBorder="1" applyAlignment="1">
      <alignment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3" applyFont="1" applyBorder="1" applyAlignment="1">
      <alignment horizontal="center" vertical="center"/>
    </xf>
    <xf numFmtId="0" fontId="4" fillId="0" borderId="8" xfId="3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quotePrefix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189" fontId="6" fillId="0" borderId="3" xfId="1" applyNumberFormat="1" applyFont="1" applyBorder="1" applyAlignment="1">
      <alignment horizontal="center" vertical="center"/>
    </xf>
    <xf numFmtId="193" fontId="6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93" fontId="6" fillId="8" borderId="1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193" fontId="6" fillId="8" borderId="6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193" fontId="6" fillId="8" borderId="3" xfId="1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center" vertical="center"/>
    </xf>
    <xf numFmtId="189" fontId="4" fillId="0" borderId="5" xfId="1" applyNumberFormat="1" applyFont="1" applyFill="1" applyBorder="1"/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188" fontId="4" fillId="0" borderId="3" xfId="1" applyNumberFormat="1" applyFont="1" applyFill="1" applyBorder="1" applyAlignment="1">
      <alignment horizontal="center"/>
    </xf>
    <xf numFmtId="188" fontId="4" fillId="0" borderId="3" xfId="1" applyNumberFormat="1" applyFont="1" applyFill="1" applyBorder="1"/>
    <xf numFmtId="188" fontId="4" fillId="0" borderId="3" xfId="1" applyNumberFormat="1" applyFont="1" applyFill="1" applyBorder="1" applyAlignment="1">
      <alignment horizontal="right"/>
    </xf>
    <xf numFmtId="189" fontId="4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189" fontId="5" fillId="8" borderId="3" xfId="1" applyNumberFormat="1" applyFont="1" applyFill="1" applyBorder="1" applyAlignment="1">
      <alignment vertical="center"/>
    </xf>
    <xf numFmtId="189" fontId="5" fillId="0" borderId="10" xfId="1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189" fontId="0" fillId="0" borderId="0" xfId="1" applyNumberFormat="1" applyFont="1"/>
    <xf numFmtId="189" fontId="0" fillId="0" borderId="0" xfId="0" applyNumberFormat="1"/>
    <xf numFmtId="194" fontId="0" fillId="0" borderId="0" xfId="6" applyNumberFormat="1" applyFont="1"/>
    <xf numFmtId="194" fontId="18" fillId="0" borderId="0" xfId="6" applyNumberFormat="1" applyFont="1"/>
    <xf numFmtId="9" fontId="19" fillId="0" borderId="0" xfId="6" applyFont="1"/>
    <xf numFmtId="191" fontId="20" fillId="8" borderId="0" xfId="0" applyNumberFormat="1" applyFont="1" applyFill="1"/>
    <xf numFmtId="189" fontId="0" fillId="8" borderId="0" xfId="1" applyNumberFormat="1" applyFont="1" applyFill="1"/>
    <xf numFmtId="0" fontId="5" fillId="0" borderId="10" xfId="0" applyFont="1" applyFill="1" applyBorder="1" applyAlignment="1">
      <alignment vertical="center"/>
    </xf>
    <xf numFmtId="0" fontId="21" fillId="0" borderId="3" xfId="0" applyFont="1" applyFill="1" applyBorder="1"/>
    <xf numFmtId="187" fontId="4" fillId="0" borderId="3" xfId="1" applyFont="1" applyFill="1" applyBorder="1"/>
    <xf numFmtId="3" fontId="4" fillId="0" borderId="3" xfId="0" applyNumberFormat="1" applyFont="1" applyFill="1" applyBorder="1" applyAlignment="1">
      <alignment horizontal="center"/>
    </xf>
    <xf numFmtId="195" fontId="4" fillId="0" borderId="3" xfId="1" applyNumberFormat="1" applyFont="1" applyFill="1" applyBorder="1" applyAlignment="1">
      <alignment horizontal="center"/>
    </xf>
    <xf numFmtId="188" fontId="4" fillId="0" borderId="6" xfId="1" applyNumberFormat="1" applyFont="1" applyFill="1" applyBorder="1" applyAlignment="1"/>
    <xf numFmtId="188" fontId="4" fillId="0" borderId="5" xfId="1" applyNumberFormat="1" applyFont="1" applyFill="1" applyBorder="1" applyAlignment="1"/>
    <xf numFmtId="3" fontId="4" fillId="0" borderId="3" xfId="1" applyNumberFormat="1" applyFont="1" applyFill="1" applyBorder="1" applyAlignment="1">
      <alignment horizontal="center"/>
    </xf>
    <xf numFmtId="188" fontId="4" fillId="0" borderId="6" xfId="1" applyNumberFormat="1" applyFont="1" applyFill="1" applyBorder="1" applyAlignment="1">
      <alignment horizontal="center"/>
    </xf>
    <xf numFmtId="188" fontId="4" fillId="0" borderId="5" xfId="1" applyNumberFormat="1" applyFont="1" applyFill="1" applyBorder="1" applyAlignment="1">
      <alignment horizontal="center"/>
    </xf>
    <xf numFmtId="0" fontId="11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center"/>
    </xf>
    <xf numFmtId="188" fontId="4" fillId="8" borderId="3" xfId="1" applyNumberFormat="1" applyFont="1" applyFill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left" vertical="center"/>
    </xf>
    <xf numFmtId="0" fontId="21" fillId="0" borderId="6" xfId="0" applyFont="1" applyFill="1" applyBorder="1" applyAlignment="1">
      <alignment horizontal="center"/>
    </xf>
    <xf numFmtId="0" fontId="22" fillId="0" borderId="0" xfId="0" applyFont="1" applyFill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14" xfId="3" applyFont="1" applyBorder="1" applyAlignment="1">
      <alignment vertical="center"/>
    </xf>
    <xf numFmtId="0" fontId="4" fillId="0" borderId="15" xfId="3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4" xfId="3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88" fontId="4" fillId="0" borderId="1" xfId="1" applyNumberFormat="1" applyFont="1" applyBorder="1" applyAlignment="1">
      <alignment vertical="center"/>
    </xf>
    <xf numFmtId="0" fontId="5" fillId="0" borderId="0" xfId="3" applyFont="1" applyBorder="1" applyAlignment="1">
      <alignment horizontal="centerContinuous" vertical="center"/>
    </xf>
    <xf numFmtId="0" fontId="4" fillId="0" borderId="17" xfId="3" applyFont="1" applyBorder="1" applyAlignment="1">
      <alignment vertical="center"/>
    </xf>
    <xf numFmtId="0" fontId="4" fillId="0" borderId="19" xfId="3" applyFont="1" applyBorder="1" applyAlignment="1">
      <alignment vertical="center"/>
    </xf>
    <xf numFmtId="0" fontId="4" fillId="0" borderId="21" xfId="3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22" xfId="3" applyFont="1" applyBorder="1" applyAlignment="1">
      <alignment horizontal="center" vertical="center"/>
    </xf>
    <xf numFmtId="0" fontId="4" fillId="0" borderId="24" xfId="3" applyFont="1" applyBorder="1" applyAlignment="1">
      <alignment horizontal="center" vertical="center"/>
    </xf>
    <xf numFmtId="0" fontId="4" fillId="0" borderId="27" xfId="0" quotePrefix="1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0" fontId="4" fillId="0" borderId="29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21" fillId="0" borderId="10" xfId="0" applyFont="1" applyFill="1" applyBorder="1" applyAlignment="1">
      <alignment horizontal="right" vertical="center"/>
    </xf>
    <xf numFmtId="0" fontId="4" fillId="0" borderId="28" xfId="0" applyFont="1" applyBorder="1" applyAlignment="1">
      <alignment horizontal="left" vertical="center"/>
    </xf>
    <xf numFmtId="0" fontId="23" fillId="0" borderId="31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189" fontId="5" fillId="0" borderId="31" xfId="1" applyNumberFormat="1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23" fillId="0" borderId="30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5" fillId="0" borderId="30" xfId="0" applyFont="1" applyFill="1" applyBorder="1" applyAlignment="1">
      <alignment vertical="center"/>
    </xf>
    <xf numFmtId="188" fontId="5" fillId="0" borderId="10" xfId="1" applyNumberFormat="1" applyFont="1" applyFill="1" applyBorder="1" applyAlignment="1">
      <alignment horizontal="center" vertical="center"/>
    </xf>
    <xf numFmtId="188" fontId="5" fillId="0" borderId="12" xfId="1" applyNumberFormat="1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/>
    </xf>
    <xf numFmtId="189" fontId="5" fillId="0" borderId="15" xfId="1" applyNumberFormat="1" applyFont="1" applyFill="1" applyBorder="1" applyAlignment="1">
      <alignment vertical="center"/>
    </xf>
    <xf numFmtId="188" fontId="4" fillId="0" borderId="15" xfId="1" applyNumberFormat="1" applyFont="1" applyFill="1" applyBorder="1" applyAlignment="1">
      <alignment horizontal="center" vertical="center"/>
    </xf>
    <xf numFmtId="188" fontId="4" fillId="0" borderId="17" xfId="1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24" fillId="0" borderId="30" xfId="0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/>
    </xf>
    <xf numFmtId="188" fontId="5" fillId="0" borderId="26" xfId="1" applyNumberFormat="1" applyFont="1" applyFill="1" applyBorder="1" applyAlignment="1">
      <alignment horizontal="center" vertical="center"/>
    </xf>
    <xf numFmtId="189" fontId="5" fillId="0" borderId="31" xfId="1" applyNumberFormat="1" applyFont="1" applyFill="1" applyBorder="1" applyAlignment="1">
      <alignment horizontal="center" vertical="center"/>
    </xf>
    <xf numFmtId="188" fontId="10" fillId="8" borderId="3" xfId="1" applyNumberFormat="1" applyFont="1" applyFill="1" applyBorder="1"/>
    <xf numFmtId="0" fontId="28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3" fontId="8" fillId="8" borderId="1" xfId="0" applyNumberFormat="1" applyFont="1" applyFill="1" applyBorder="1" applyAlignment="1">
      <alignment vertical="center"/>
    </xf>
    <xf numFmtId="3" fontId="8" fillId="8" borderId="5" xfId="0" applyNumberFormat="1" applyFont="1" applyFill="1" applyBorder="1" applyAlignment="1">
      <alignment vertical="center"/>
    </xf>
    <xf numFmtId="3" fontId="6" fillId="8" borderId="1" xfId="0" applyNumberFormat="1" applyFont="1" applyFill="1" applyBorder="1" applyAlignment="1">
      <alignment vertical="center"/>
    </xf>
    <xf numFmtId="3" fontId="6" fillId="8" borderId="5" xfId="0" applyNumberFormat="1" applyFont="1" applyFill="1" applyBorder="1" applyAlignment="1">
      <alignment vertical="center"/>
    </xf>
    <xf numFmtId="0" fontId="6" fillId="8" borderId="1" xfId="0" quotePrefix="1" applyFont="1" applyFill="1" applyBorder="1" applyAlignment="1">
      <alignment vertical="center"/>
    </xf>
    <xf numFmtId="0" fontId="6" fillId="8" borderId="5" xfId="0" quotePrefix="1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4" borderId="52" xfId="0" applyFont="1" applyFill="1" applyBorder="1" applyAlignment="1">
      <alignment horizontal="center" vertical="center"/>
    </xf>
    <xf numFmtId="0" fontId="15" fillId="4" borderId="53" xfId="0" applyFont="1" applyFill="1" applyBorder="1" applyAlignment="1">
      <alignment horizontal="center" vertical="center"/>
    </xf>
    <xf numFmtId="200" fontId="15" fillId="4" borderId="45" xfId="0" applyNumberFormat="1" applyFont="1" applyFill="1" applyBorder="1" applyAlignment="1">
      <alignment horizontal="center" vertical="center"/>
    </xf>
    <xf numFmtId="9" fontId="16" fillId="8" borderId="38" xfId="5" applyFont="1" applyFill="1" applyBorder="1" applyAlignment="1">
      <alignment horizontal="center" vertical="center"/>
    </xf>
    <xf numFmtId="9" fontId="16" fillId="8" borderId="10" xfId="5" applyFont="1" applyFill="1" applyBorder="1" applyAlignment="1">
      <alignment horizontal="center" vertical="center"/>
    </xf>
    <xf numFmtId="9" fontId="16" fillId="8" borderId="39" xfId="5" applyFont="1" applyFill="1" applyBorder="1" applyAlignment="1">
      <alignment horizontal="center" vertical="center"/>
    </xf>
    <xf numFmtId="0" fontId="15" fillId="10" borderId="37" xfId="0" applyFont="1" applyFill="1" applyBorder="1" applyAlignment="1">
      <alignment horizontal="center" vertical="center"/>
    </xf>
    <xf numFmtId="192" fontId="15" fillId="11" borderId="40" xfId="0" applyNumberFormat="1" applyFont="1" applyFill="1" applyBorder="1" applyAlignment="1">
      <alignment horizontal="center" vertical="center"/>
    </xf>
    <xf numFmtId="192" fontId="15" fillId="12" borderId="3" xfId="0" applyNumberFormat="1" applyFont="1" applyFill="1" applyBorder="1" applyAlignment="1">
      <alignment horizontal="center" vertical="center"/>
    </xf>
    <xf numFmtId="192" fontId="15" fillId="13" borderId="3" xfId="0" applyNumberFormat="1" applyFont="1" applyFill="1" applyBorder="1" applyAlignment="1">
      <alignment horizontal="center" vertical="center"/>
    </xf>
    <xf numFmtId="192" fontId="15" fillId="13" borderId="43" xfId="0" applyNumberFormat="1" applyFont="1" applyFill="1" applyBorder="1" applyAlignment="1">
      <alignment horizontal="center" vertical="center"/>
    </xf>
    <xf numFmtId="192" fontId="15" fillId="14" borderId="41" xfId="0" applyNumberFormat="1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/>
    </xf>
    <xf numFmtId="9" fontId="16" fillId="8" borderId="12" xfId="5" applyFont="1" applyFill="1" applyBorder="1" applyAlignment="1">
      <alignment horizontal="center" vertical="center"/>
    </xf>
    <xf numFmtId="192" fontId="15" fillId="12" borderId="5" xfId="0" applyNumberFormat="1" applyFont="1" applyFill="1" applyBorder="1" applyAlignment="1">
      <alignment horizontal="center" vertical="center"/>
    </xf>
    <xf numFmtId="9" fontId="16" fillId="8" borderId="52" xfId="5" applyFont="1" applyFill="1" applyBorder="1" applyAlignment="1">
      <alignment horizontal="center" vertical="center"/>
    </xf>
    <xf numFmtId="192" fontId="15" fillId="11" borderId="5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92" fontId="15" fillId="11" borderId="42" xfId="0" applyNumberFormat="1" applyFont="1" applyFill="1" applyBorder="1" applyAlignment="1">
      <alignment horizontal="center" vertical="center"/>
    </xf>
    <xf numFmtId="192" fontId="15" fillId="12" borderId="43" xfId="0" applyNumberFormat="1" applyFont="1" applyFill="1" applyBorder="1" applyAlignment="1">
      <alignment horizontal="center" vertical="center"/>
    </xf>
    <xf numFmtId="192" fontId="15" fillId="11" borderId="45" xfId="0" applyNumberFormat="1" applyFont="1" applyFill="1" applyBorder="1" applyAlignment="1">
      <alignment horizontal="center" vertical="center"/>
    </xf>
    <xf numFmtId="192" fontId="15" fillId="12" borderId="54" xfId="0" applyNumberFormat="1" applyFont="1" applyFill="1" applyBorder="1" applyAlignment="1">
      <alignment horizontal="center" vertical="center"/>
    </xf>
    <xf numFmtId="192" fontId="15" fillId="14" borderId="44" xfId="0" applyNumberFormat="1" applyFont="1" applyFill="1" applyBorder="1" applyAlignment="1">
      <alignment horizontal="center" vertical="center"/>
    </xf>
    <xf numFmtId="0" fontId="4" fillId="0" borderId="67" xfId="3" applyFont="1" applyBorder="1" applyAlignment="1">
      <alignment vertical="center"/>
    </xf>
    <xf numFmtId="0" fontId="4" fillId="0" borderId="68" xfId="3" applyFont="1" applyBorder="1" applyAlignment="1">
      <alignment vertical="center"/>
    </xf>
    <xf numFmtId="9" fontId="16" fillId="8" borderId="70" xfId="5" applyFont="1" applyFill="1" applyBorder="1" applyAlignment="1">
      <alignment horizontal="center" vertical="center"/>
    </xf>
    <xf numFmtId="9" fontId="31" fillId="8" borderId="49" xfId="6" applyFont="1" applyFill="1" applyBorder="1" applyAlignment="1">
      <alignment vertical="center"/>
    </xf>
    <xf numFmtId="9" fontId="31" fillId="8" borderId="50" xfId="6" applyFont="1" applyFill="1" applyBorder="1" applyAlignment="1">
      <alignment vertical="center"/>
    </xf>
    <xf numFmtId="9" fontId="31" fillId="8" borderId="51" xfId="6" applyFont="1" applyFill="1" applyBorder="1" applyAlignment="1">
      <alignment vertical="center"/>
    </xf>
    <xf numFmtId="9" fontId="16" fillId="8" borderId="49" xfId="6" applyFont="1" applyFill="1" applyBorder="1" applyAlignment="1">
      <alignment vertical="center"/>
    </xf>
    <xf numFmtId="9" fontId="16" fillId="8" borderId="50" xfId="6" applyFont="1" applyFill="1" applyBorder="1" applyAlignment="1">
      <alignment vertical="center"/>
    </xf>
    <xf numFmtId="9" fontId="16" fillId="8" borderId="51" xfId="6" applyFont="1" applyFill="1" applyBorder="1" applyAlignment="1">
      <alignment vertical="center"/>
    </xf>
    <xf numFmtId="0" fontId="26" fillId="0" borderId="30" xfId="0" applyFont="1" applyFill="1" applyBorder="1" applyAlignment="1">
      <alignment horizontal="left" vertical="center"/>
    </xf>
    <xf numFmtId="0" fontId="24" fillId="0" borderId="30" xfId="0" applyFont="1" applyFill="1" applyBorder="1" applyAlignment="1">
      <alignment horizontal="left" vertical="center"/>
    </xf>
    <xf numFmtId="0" fontId="21" fillId="8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88" fontId="4" fillId="0" borderId="3" xfId="1" applyNumberFormat="1" applyFont="1" applyFill="1" applyBorder="1" applyAlignment="1">
      <alignment horizontal="right" vertical="center"/>
    </xf>
    <xf numFmtId="188" fontId="4" fillId="0" borderId="5" xfId="0" applyNumberFormat="1" applyFont="1" applyFill="1" applyBorder="1" applyAlignment="1">
      <alignment vertical="center"/>
    </xf>
    <xf numFmtId="188" fontId="4" fillId="0" borderId="5" xfId="0" applyNumberFormat="1" applyFont="1" applyFill="1" applyBorder="1"/>
    <xf numFmtId="0" fontId="34" fillId="0" borderId="3" xfId="0" applyFont="1" applyFill="1" applyBorder="1"/>
    <xf numFmtId="188" fontId="4" fillId="2" borderId="6" xfId="1" applyNumberFormat="1" applyFont="1" applyFill="1" applyBorder="1" applyAlignment="1">
      <alignment vertical="center"/>
    </xf>
    <xf numFmtId="188" fontId="4" fillId="2" borderId="5" xfId="1" applyNumberFormat="1" applyFont="1" applyFill="1" applyBorder="1" applyAlignment="1">
      <alignment vertical="center"/>
    </xf>
    <xf numFmtId="3" fontId="4" fillId="2" borderId="3" xfId="1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88" fontId="4" fillId="2" borderId="3" xfId="1" applyNumberFormat="1" applyFont="1" applyFill="1" applyBorder="1"/>
    <xf numFmtId="188" fontId="4" fillId="2" borderId="3" xfId="1" applyNumberFormat="1" applyFont="1" applyFill="1" applyBorder="1" applyAlignment="1">
      <alignment horizontal="right"/>
    </xf>
    <xf numFmtId="188" fontId="4" fillId="2" borderId="5" xfId="0" applyNumberFormat="1" applyFont="1" applyFill="1" applyBorder="1"/>
    <xf numFmtId="0" fontId="4" fillId="2" borderId="3" xfId="0" quotePrefix="1" applyFont="1" applyFill="1" applyBorder="1"/>
    <xf numFmtId="188" fontId="4" fillId="2" borderId="3" xfId="1" applyNumberFormat="1" applyFont="1" applyFill="1" applyBorder="1" applyAlignment="1">
      <alignment vertical="center"/>
    </xf>
    <xf numFmtId="188" fontId="4" fillId="2" borderId="5" xfId="0" applyNumberFormat="1" applyFont="1" applyFill="1" applyBorder="1" applyAlignment="1">
      <alignment vertical="center"/>
    </xf>
    <xf numFmtId="0" fontId="23" fillId="0" borderId="30" xfId="0" applyFont="1" applyFill="1" applyBorder="1" applyAlignment="1">
      <alignment horizontal="left" vertical="center" shrinkToFit="1"/>
    </xf>
    <xf numFmtId="189" fontId="4" fillId="0" borderId="3" xfId="1" applyNumberFormat="1" applyFont="1" applyFill="1" applyBorder="1" applyAlignment="1">
      <alignment horizontal="center" vertical="center"/>
    </xf>
    <xf numFmtId="187" fontId="4" fillId="0" borderId="3" xfId="1" applyFont="1" applyFill="1" applyBorder="1" applyAlignment="1">
      <alignment horizontal="center" vertical="center"/>
    </xf>
    <xf numFmtId="0" fontId="4" fillId="0" borderId="33" xfId="3" applyFont="1" applyBorder="1" applyAlignment="1">
      <alignment vertical="center"/>
    </xf>
    <xf numFmtId="0" fontId="4" fillId="0" borderId="74" xfId="0" applyFont="1" applyBorder="1" applyAlignment="1">
      <alignment horizontal="left" vertical="center"/>
    </xf>
    <xf numFmtId="0" fontId="4" fillId="0" borderId="36" xfId="3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190" fontId="4" fillId="0" borderId="33" xfId="2" applyNumberFormat="1" applyFont="1" applyBorder="1" applyAlignment="1">
      <alignment vertical="center"/>
    </xf>
    <xf numFmtId="0" fontId="4" fillId="0" borderId="73" xfId="3" applyFont="1" applyBorder="1" applyAlignment="1">
      <alignment vertical="center"/>
    </xf>
    <xf numFmtId="0" fontId="4" fillId="0" borderId="75" xfId="3" applyFont="1" applyBorder="1" applyAlignment="1">
      <alignment vertical="center"/>
    </xf>
    <xf numFmtId="189" fontId="4" fillId="0" borderId="73" xfId="2" applyNumberFormat="1" applyFont="1" applyBorder="1" applyAlignment="1">
      <alignment vertical="center"/>
    </xf>
    <xf numFmtId="189" fontId="4" fillId="2" borderId="10" xfId="2" applyNumberFormat="1" applyFont="1" applyFill="1" applyBorder="1" applyAlignment="1">
      <alignment vertical="center"/>
    </xf>
    <xf numFmtId="189" fontId="27" fillId="0" borderId="76" xfId="0" applyNumberFormat="1" applyFont="1" applyFill="1" applyBorder="1" applyAlignment="1">
      <alignment vertical="center"/>
    </xf>
    <xf numFmtId="0" fontId="15" fillId="8" borderId="47" xfId="0" applyFont="1" applyFill="1" applyBorder="1" applyAlignment="1">
      <alignment horizontal="center" vertical="center"/>
    </xf>
    <xf numFmtId="9" fontId="31" fillId="8" borderId="50" xfId="6" applyFont="1" applyFill="1" applyBorder="1" applyAlignment="1">
      <alignment horizontal="center" vertical="center"/>
    </xf>
    <xf numFmtId="0" fontId="15" fillId="8" borderId="47" xfId="0" applyFont="1" applyFill="1" applyBorder="1" applyAlignment="1">
      <alignment horizontal="center" vertical="center"/>
    </xf>
    <xf numFmtId="0" fontId="15" fillId="8" borderId="48" xfId="0" applyFont="1" applyFill="1" applyBorder="1" applyAlignment="1">
      <alignment horizontal="center" vertical="center"/>
    </xf>
    <xf numFmtId="9" fontId="31" fillId="8" borderId="50" xfId="6" applyFont="1" applyFill="1" applyBorder="1" applyAlignment="1">
      <alignment horizontal="center" vertical="center"/>
    </xf>
    <xf numFmtId="9" fontId="31" fillId="8" borderId="51" xfId="6" applyFont="1" applyFill="1" applyBorder="1" applyAlignment="1">
      <alignment horizontal="center" vertical="center"/>
    </xf>
    <xf numFmtId="192" fontId="15" fillId="11" borderId="78" xfId="0" applyNumberFormat="1" applyFont="1" applyFill="1" applyBorder="1" applyAlignment="1">
      <alignment horizontal="center" vertical="center"/>
    </xf>
    <xf numFmtId="192" fontId="15" fillId="11" borderId="79" xfId="0" applyNumberFormat="1" applyFont="1" applyFill="1" applyBorder="1" applyAlignment="1">
      <alignment horizontal="center" vertical="center"/>
    </xf>
    <xf numFmtId="192" fontId="15" fillId="11" borderId="3" xfId="0" applyNumberFormat="1" applyFont="1" applyFill="1" applyBorder="1" applyAlignment="1">
      <alignment horizontal="center" vertical="center"/>
    </xf>
    <xf numFmtId="192" fontId="15" fillId="11" borderId="43" xfId="0" applyNumberFormat="1" applyFont="1" applyFill="1" applyBorder="1" applyAlignment="1">
      <alignment horizontal="center" vertical="center"/>
    </xf>
    <xf numFmtId="192" fontId="15" fillId="13" borderId="6" xfId="0" applyNumberFormat="1" applyFont="1" applyFill="1" applyBorder="1" applyAlignment="1">
      <alignment horizontal="center" vertical="center"/>
    </xf>
    <xf numFmtId="192" fontId="15" fillId="13" borderId="80" xfId="0" applyNumberFormat="1" applyFont="1" applyFill="1" applyBorder="1" applyAlignment="1">
      <alignment horizontal="center" vertical="center"/>
    </xf>
    <xf numFmtId="192" fontId="15" fillId="14" borderId="1" xfId="0" applyNumberFormat="1" applyFont="1" applyFill="1" applyBorder="1" applyAlignment="1">
      <alignment horizontal="center" vertical="center"/>
    </xf>
    <xf numFmtId="192" fontId="15" fillId="14" borderId="77" xfId="0" applyNumberFormat="1" applyFont="1" applyFill="1" applyBorder="1" applyAlignment="1">
      <alignment horizontal="center" vertical="center"/>
    </xf>
    <xf numFmtId="192" fontId="15" fillId="14" borderId="3" xfId="0" applyNumberFormat="1" applyFont="1" applyFill="1" applyBorder="1" applyAlignment="1">
      <alignment horizontal="center" vertical="center"/>
    </xf>
    <xf numFmtId="192" fontId="15" fillId="14" borderId="43" xfId="0" applyNumberFormat="1" applyFont="1" applyFill="1" applyBorder="1" applyAlignment="1">
      <alignment horizontal="center" vertical="center"/>
    </xf>
    <xf numFmtId="192" fontId="15" fillId="11" borderId="85" xfId="0" applyNumberFormat="1" applyFont="1" applyFill="1" applyBorder="1" applyAlignment="1">
      <alignment horizontal="center" vertical="center"/>
    </xf>
    <xf numFmtId="192" fontId="15" fillId="11" borderId="10" xfId="0" applyNumberFormat="1" applyFont="1" applyFill="1" applyBorder="1" applyAlignment="1">
      <alignment horizontal="center" vertical="center"/>
    </xf>
    <xf numFmtId="192" fontId="15" fillId="12" borderId="12" xfId="0" applyNumberFormat="1" applyFont="1" applyFill="1" applyBorder="1" applyAlignment="1">
      <alignment horizontal="center" vertical="center"/>
    </xf>
    <xf numFmtId="192" fontId="15" fillId="13" borderId="10" xfId="0" applyNumberFormat="1" applyFont="1" applyFill="1" applyBorder="1" applyAlignment="1">
      <alignment horizontal="center" vertical="center"/>
    </xf>
    <xf numFmtId="192" fontId="15" fillId="13" borderId="11" xfId="0" applyNumberFormat="1" applyFont="1" applyFill="1" applyBorder="1" applyAlignment="1">
      <alignment horizontal="center" vertical="center"/>
    </xf>
    <xf numFmtId="192" fontId="15" fillId="14" borderId="10" xfId="0" applyNumberFormat="1" applyFont="1" applyFill="1" applyBorder="1" applyAlignment="1">
      <alignment horizontal="center" vertical="center"/>
    </xf>
    <xf numFmtId="192" fontId="15" fillId="14" borderId="2" xfId="0" applyNumberFormat="1" applyFont="1" applyFill="1" applyBorder="1" applyAlignment="1">
      <alignment horizontal="center" vertical="center"/>
    </xf>
    <xf numFmtId="0" fontId="15" fillId="0" borderId="86" xfId="0" applyFont="1" applyBorder="1" applyAlignment="1">
      <alignment horizontal="center" vertical="center"/>
    </xf>
    <xf numFmtId="9" fontId="16" fillId="8" borderId="3" xfId="5" applyFont="1" applyFill="1" applyBorder="1" applyAlignment="1">
      <alignment horizontal="center" vertical="center"/>
    </xf>
    <xf numFmtId="9" fontId="16" fillId="8" borderId="5" xfId="5" applyFont="1" applyFill="1" applyBorder="1" applyAlignment="1">
      <alignment horizontal="center" vertical="center"/>
    </xf>
    <xf numFmtId="0" fontId="15" fillId="0" borderId="90" xfId="0" applyFont="1" applyBorder="1" applyAlignment="1">
      <alignment horizontal="center" vertical="center"/>
    </xf>
    <xf numFmtId="0" fontId="15" fillId="0" borderId="91" xfId="0" applyFont="1" applyBorder="1" applyAlignment="1">
      <alignment horizontal="center" vertical="center"/>
    </xf>
    <xf numFmtId="0" fontId="15" fillId="0" borderId="92" xfId="0" applyFont="1" applyBorder="1" applyAlignment="1">
      <alignment horizontal="center" vertical="center"/>
    </xf>
    <xf numFmtId="0" fontId="15" fillId="11" borderId="93" xfId="0" applyFont="1" applyFill="1" applyBorder="1" applyAlignment="1">
      <alignment horizontal="left" vertical="center"/>
    </xf>
    <xf numFmtId="0" fontId="15" fillId="11" borderId="0" xfId="0" applyFont="1" applyFill="1" applyBorder="1" applyAlignment="1">
      <alignment horizontal="center" vertical="center"/>
    </xf>
    <xf numFmtId="0" fontId="15" fillId="11" borderId="0" xfId="0" applyFont="1" applyFill="1" applyBorder="1" applyAlignment="1">
      <alignment horizontal="left" vertical="center"/>
    </xf>
    <xf numFmtId="0" fontId="15" fillId="11" borderId="94" xfId="0" applyFont="1" applyFill="1" applyBorder="1" applyAlignment="1">
      <alignment horizontal="center" vertical="center"/>
    </xf>
    <xf numFmtId="0" fontId="15" fillId="8" borderId="95" xfId="0" applyFont="1" applyFill="1" applyBorder="1" applyAlignment="1">
      <alignment horizontal="left" vertical="center"/>
    </xf>
    <xf numFmtId="0" fontId="15" fillId="8" borderId="96" xfId="0" applyFont="1" applyFill="1" applyBorder="1" applyAlignment="1">
      <alignment horizontal="center" vertical="center"/>
    </xf>
    <xf numFmtId="0" fontId="15" fillId="8" borderId="96" xfId="0" applyFont="1" applyFill="1" applyBorder="1" applyAlignment="1">
      <alignment horizontal="left" vertical="center"/>
    </xf>
    <xf numFmtId="0" fontId="15" fillId="8" borderId="97" xfId="0" applyFont="1" applyFill="1" applyBorder="1" applyAlignment="1">
      <alignment horizontal="center" vertical="center"/>
    </xf>
    <xf numFmtId="0" fontId="15" fillId="4" borderId="41" xfId="0" applyFont="1" applyFill="1" applyBorder="1" applyAlignment="1">
      <alignment horizontal="center" vertical="center"/>
    </xf>
    <xf numFmtId="9" fontId="16" fillId="8" borderId="41" xfId="5" applyFont="1" applyFill="1" applyBorder="1" applyAlignment="1">
      <alignment horizontal="center" vertical="center"/>
    </xf>
    <xf numFmtId="192" fontId="15" fillId="11" borderId="2" xfId="0" applyNumberFormat="1" applyFont="1" applyFill="1" applyBorder="1" applyAlignment="1">
      <alignment horizontal="center" vertical="center"/>
    </xf>
    <xf numFmtId="192" fontId="15" fillId="14" borderId="39" xfId="0" applyNumberFormat="1" applyFont="1" applyFill="1" applyBorder="1" applyAlignment="1">
      <alignment horizontal="center" vertical="center"/>
    </xf>
    <xf numFmtId="9" fontId="16" fillId="8" borderId="98" xfId="5" applyFont="1" applyFill="1" applyBorder="1" applyAlignment="1">
      <alignment horizontal="center" vertical="center"/>
    </xf>
    <xf numFmtId="192" fontId="15" fillId="14" borderId="86" xfId="0" applyNumberFormat="1" applyFont="1" applyFill="1" applyBorder="1" applyAlignment="1">
      <alignment horizontal="center" vertical="center"/>
    </xf>
    <xf numFmtId="192" fontId="15" fillId="14" borderId="98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36" fillId="0" borderId="3" xfId="0" applyFont="1" applyFill="1" applyBorder="1"/>
    <xf numFmtId="0" fontId="6" fillId="0" borderId="3" xfId="0" applyFont="1" applyFill="1" applyBorder="1" applyAlignment="1">
      <alignment horizontal="center"/>
    </xf>
    <xf numFmtId="187" fontId="6" fillId="0" borderId="3" xfId="1" applyFont="1" applyFill="1" applyBorder="1"/>
    <xf numFmtId="0" fontId="6" fillId="0" borderId="5" xfId="0" applyFont="1" applyFill="1" applyBorder="1"/>
    <xf numFmtId="0" fontId="8" fillId="0" borderId="3" xfId="0" applyFont="1" applyFill="1" applyBorder="1"/>
    <xf numFmtId="0" fontId="6" fillId="0" borderId="5" xfId="0" applyFont="1" applyFill="1" applyBorder="1" applyAlignment="1">
      <alignment horizontal="center"/>
    </xf>
    <xf numFmtId="187" fontId="6" fillId="0" borderId="10" xfId="1" applyFont="1" applyFill="1" applyBorder="1"/>
    <xf numFmtId="187" fontId="6" fillId="0" borderId="12" xfId="1" applyFont="1" applyFill="1" applyBorder="1"/>
    <xf numFmtId="3" fontId="6" fillId="2" borderId="3" xfId="1" applyNumberFormat="1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188" fontId="6" fillId="2" borderId="3" xfId="1" applyNumberFormat="1" applyFont="1" applyFill="1" applyBorder="1" applyAlignment="1">
      <alignment horizontal="right"/>
    </xf>
    <xf numFmtId="188" fontId="6" fillId="2" borderId="10" xfId="1" applyNumberFormat="1" applyFont="1" applyFill="1" applyBorder="1" applyAlignment="1">
      <alignment horizontal="right"/>
    </xf>
    <xf numFmtId="188" fontId="6" fillId="2" borderId="12" xfId="1" applyNumberFormat="1" applyFont="1" applyFill="1" applyBorder="1" applyAlignment="1">
      <alignment horizontal="right"/>
    </xf>
    <xf numFmtId="188" fontId="6" fillId="16" borderId="5" xfId="0" applyNumberFormat="1" applyFont="1" applyFill="1" applyBorder="1"/>
    <xf numFmtId="188" fontId="6" fillId="0" borderId="3" xfId="1" applyNumberFormat="1" applyFont="1" applyFill="1" applyBorder="1" applyAlignment="1">
      <alignment horizontal="right"/>
    </xf>
    <xf numFmtId="188" fontId="6" fillId="16" borderId="3" xfId="1" applyNumberFormat="1" applyFont="1" applyFill="1" applyBorder="1"/>
    <xf numFmtId="3" fontId="37" fillId="2" borderId="3" xfId="1" applyNumberFormat="1" applyFont="1" applyFill="1" applyBorder="1" applyAlignment="1">
      <alignment horizontal="center"/>
    </xf>
    <xf numFmtId="188" fontId="37" fillId="2" borderId="3" xfId="1" applyNumberFormat="1" applyFont="1" applyFill="1" applyBorder="1"/>
    <xf numFmtId="188" fontId="37" fillId="2" borderId="10" xfId="1" applyNumberFormat="1" applyFont="1" applyFill="1" applyBorder="1" applyAlignment="1">
      <alignment horizontal="center"/>
    </xf>
    <xf numFmtId="188" fontId="37" fillId="2" borderId="12" xfId="1" applyNumberFormat="1" applyFont="1" applyFill="1" applyBorder="1" applyAlignment="1">
      <alignment horizontal="center"/>
    </xf>
    <xf numFmtId="0" fontId="6" fillId="2" borderId="5" xfId="0" applyFont="1" applyFill="1" applyBorder="1"/>
    <xf numFmtId="0" fontId="6" fillId="0" borderId="7" xfId="0" quotePrefix="1" applyFont="1" applyFill="1" applyBorder="1"/>
    <xf numFmtId="0" fontId="6" fillId="16" borderId="3" xfId="0" quotePrefix="1" applyFont="1" applyFill="1" applyBorder="1"/>
    <xf numFmtId="0" fontId="6" fillId="2" borderId="3" xfId="0" quotePrefix="1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38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38" fillId="0" borderId="1" xfId="0" applyFont="1" applyFill="1" applyBorder="1" applyAlignment="1">
      <alignment vertical="center"/>
    </xf>
    <xf numFmtId="0" fontId="29" fillId="0" borderId="30" xfId="0" applyFont="1" applyFill="1" applyBorder="1" applyAlignment="1">
      <alignment vertical="center"/>
    </xf>
    <xf numFmtId="0" fontId="6" fillId="0" borderId="3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38" fillId="0" borderId="31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189" fontId="8" fillId="0" borderId="31" xfId="1" applyNumberFormat="1" applyFont="1" applyFill="1" applyBorder="1" applyAlignment="1">
      <alignment vertical="center"/>
    </xf>
    <xf numFmtId="0" fontId="8" fillId="0" borderId="31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8" fillId="0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189" fontId="8" fillId="0" borderId="15" xfId="1" applyNumberFormat="1" applyFont="1" applyFill="1" applyBorder="1" applyAlignment="1">
      <alignment vertical="center"/>
    </xf>
    <xf numFmtId="188" fontId="6" fillId="0" borderId="15" xfId="1" applyNumberFormat="1" applyFont="1" applyFill="1" applyBorder="1" applyAlignment="1">
      <alignment horizontal="center" vertical="center"/>
    </xf>
    <xf numFmtId="188" fontId="6" fillId="0" borderId="17" xfId="1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vertical="center"/>
    </xf>
    <xf numFmtId="0" fontId="28" fillId="0" borderId="10" xfId="0" applyFont="1" applyFill="1" applyBorder="1" applyAlignment="1">
      <alignment horizontal="right" vertical="center"/>
    </xf>
    <xf numFmtId="189" fontId="8" fillId="0" borderId="10" xfId="1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88" fontId="8" fillId="0" borderId="10" xfId="1" applyNumberFormat="1" applyFont="1" applyFill="1" applyBorder="1" applyAlignment="1">
      <alignment horizontal="center" vertical="center"/>
    </xf>
    <xf numFmtId="188" fontId="8" fillId="0" borderId="12" xfId="1" applyNumberFormat="1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/>
    </xf>
    <xf numFmtId="189" fontId="6" fillId="0" borderId="5" xfId="1" applyNumberFormat="1" applyFont="1" applyFill="1" applyBorder="1"/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/>
    <xf numFmtId="195" fontId="6" fillId="0" borderId="3" xfId="1" applyNumberFormat="1" applyFont="1" applyFill="1" applyBorder="1" applyAlignment="1">
      <alignment horizontal="center"/>
    </xf>
    <xf numFmtId="188" fontId="6" fillId="0" borderId="5" xfId="0" applyNumberFormat="1" applyFont="1" applyFill="1" applyBorder="1"/>
    <xf numFmtId="0" fontId="6" fillId="0" borderId="0" xfId="0" applyFont="1"/>
    <xf numFmtId="0" fontId="6" fillId="0" borderId="0" xfId="0" applyFont="1" applyBorder="1"/>
    <xf numFmtId="188" fontId="6" fillId="0" borderId="3" xfId="1" applyNumberFormat="1" applyFont="1" applyFill="1" applyBorder="1" applyAlignment="1">
      <alignment horizontal="center"/>
    </xf>
    <xf numFmtId="3" fontId="6" fillId="0" borderId="3" xfId="1" applyNumberFormat="1" applyFont="1" applyFill="1" applyBorder="1" applyAlignment="1">
      <alignment horizontal="center"/>
    </xf>
    <xf numFmtId="189" fontId="6" fillId="0" borderId="0" xfId="0" applyNumberFormat="1" applyFont="1" applyFill="1" applyAlignment="1">
      <alignment vertical="center"/>
    </xf>
    <xf numFmtId="0" fontId="28" fillId="0" borderId="6" xfId="0" applyFont="1" applyFill="1" applyBorder="1" applyAlignment="1">
      <alignment horizontal="center"/>
    </xf>
    <xf numFmtId="0" fontId="40" fillId="0" borderId="3" xfId="0" applyFont="1" applyFill="1" applyBorder="1" applyAlignment="1">
      <alignment horizontal="center"/>
    </xf>
    <xf numFmtId="188" fontId="6" fillId="0" borderId="3" xfId="1" applyNumberFormat="1" applyFont="1" applyFill="1" applyBorder="1"/>
    <xf numFmtId="188" fontId="6" fillId="8" borderId="3" xfId="1" applyNumberFormat="1" applyFont="1" applyFill="1" applyBorder="1" applyAlignment="1">
      <alignment horizontal="right"/>
    </xf>
    <xf numFmtId="188" fontId="6" fillId="0" borderId="6" xfId="1" applyNumberFormat="1" applyFont="1" applyFill="1" applyBorder="1" applyAlignment="1">
      <alignment horizontal="center"/>
    </xf>
    <xf numFmtId="188" fontId="6" fillId="0" borderId="5" xfId="1" applyNumberFormat="1" applyFont="1" applyFill="1" applyBorder="1" applyAlignment="1">
      <alignment horizontal="center"/>
    </xf>
    <xf numFmtId="189" fontId="8" fillId="8" borderId="3" xfId="1" applyNumberFormat="1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horizontal="center"/>
    </xf>
    <xf numFmtId="0" fontId="40" fillId="0" borderId="0" xfId="0" applyFont="1" applyFill="1" applyAlignment="1">
      <alignment vertical="center"/>
    </xf>
    <xf numFmtId="0" fontId="40" fillId="0" borderId="0" xfId="0" applyFont="1" applyFill="1" applyBorder="1" applyAlignment="1">
      <alignment vertical="center"/>
    </xf>
    <xf numFmtId="0" fontId="41" fillId="0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188" fontId="8" fillId="0" borderId="31" xfId="1" applyNumberFormat="1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188" fontId="8" fillId="0" borderId="15" xfId="1" applyNumberFormat="1" applyFont="1" applyBorder="1" applyAlignment="1">
      <alignment horizontal="center" vertical="center"/>
    </xf>
    <xf numFmtId="188" fontId="6" fillId="0" borderId="33" xfId="1" applyNumberFormat="1" applyFont="1" applyBorder="1" applyAlignment="1">
      <alignment vertical="center"/>
    </xf>
    <xf numFmtId="188" fontId="6" fillId="0" borderId="8" xfId="1" applyNumberFormat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188" fontId="6" fillId="0" borderId="8" xfId="1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189" fontId="6" fillId="0" borderId="9" xfId="1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188" fontId="6" fillId="0" borderId="3" xfId="1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88" fontId="6" fillId="0" borderId="7" xfId="1" applyNumberFormat="1" applyFont="1" applyBorder="1" applyAlignment="1">
      <alignment vertical="center"/>
    </xf>
    <xf numFmtId="0" fontId="6" fillId="0" borderId="6" xfId="0" quotePrefix="1" applyFont="1" applyBorder="1" applyAlignment="1">
      <alignment horizontal="center" vertical="center"/>
    </xf>
    <xf numFmtId="188" fontId="8" fillId="0" borderId="1" xfId="1" applyNumberFormat="1" applyFont="1" applyBorder="1" applyAlignment="1">
      <alignment vertical="center"/>
    </xf>
    <xf numFmtId="188" fontId="6" fillId="0" borderId="5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vertical="center"/>
    </xf>
    <xf numFmtId="188" fontId="6" fillId="0" borderId="0" xfId="1" applyNumberFormat="1" applyFont="1" applyBorder="1" applyAlignment="1">
      <alignment vertical="center"/>
    </xf>
    <xf numFmtId="188" fontId="6" fillId="0" borderId="0" xfId="1" applyNumberFormat="1" applyFont="1" applyBorder="1" applyAlignment="1">
      <alignment horizontal="center" vertical="center"/>
    </xf>
    <xf numFmtId="196" fontId="6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188" fontId="6" fillId="0" borderId="1" xfId="1" applyNumberFormat="1" applyFont="1" applyBorder="1" applyAlignment="1">
      <alignment vertical="center"/>
    </xf>
    <xf numFmtId="0" fontId="38" fillId="0" borderId="30" xfId="0" applyFont="1" applyFill="1" applyBorder="1" applyAlignment="1">
      <alignment horizontal="left" vertical="center"/>
    </xf>
    <xf numFmtId="0" fontId="8" fillId="8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0" xfId="0" applyFont="1" applyBorder="1" applyAlignment="1">
      <alignment vertical="center"/>
    </xf>
    <xf numFmtId="188" fontId="6" fillId="0" borderId="30" xfId="1" applyNumberFormat="1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197" fontId="4" fillId="0" borderId="1" xfId="0" applyNumberFormat="1" applyFont="1" applyBorder="1" applyAlignment="1">
      <alignment horizontal="center" vertical="center"/>
    </xf>
    <xf numFmtId="199" fontId="6" fillId="0" borderId="1" xfId="0" applyNumberFormat="1" applyFont="1" applyBorder="1" applyAlignment="1">
      <alignment horizontal="left" vertical="center"/>
    </xf>
    <xf numFmtId="49" fontId="6" fillId="0" borderId="1" xfId="1" applyNumberFormat="1" applyFont="1" applyBorder="1" applyAlignment="1">
      <alignment vertical="center"/>
    </xf>
    <xf numFmtId="188" fontId="6" fillId="0" borderId="1" xfId="1" applyNumberFormat="1" applyFont="1" applyBorder="1" applyAlignment="1">
      <alignment horizontal="left" vertical="center"/>
    </xf>
    <xf numFmtId="198" fontId="6" fillId="0" borderId="1" xfId="0" applyNumberFormat="1" applyFont="1" applyBorder="1" applyAlignment="1">
      <alignment vertical="center"/>
    </xf>
    <xf numFmtId="188" fontId="8" fillId="0" borderId="31" xfId="1" applyNumberFormat="1" applyFont="1" applyBorder="1" applyAlignment="1">
      <alignment horizontal="center" vertical="center"/>
    </xf>
    <xf numFmtId="188" fontId="8" fillId="8" borderId="7" xfId="1" applyNumberFormat="1" applyFont="1" applyFill="1" applyBorder="1" applyAlignment="1">
      <alignment horizontal="right" vertical="center"/>
    </xf>
    <xf numFmtId="187" fontId="6" fillId="0" borderId="0" xfId="1" applyFont="1" applyAlignment="1">
      <alignment vertical="center"/>
    </xf>
    <xf numFmtId="187" fontId="6" fillId="0" borderId="0" xfId="0" applyNumberFormat="1" applyFont="1" applyAlignment="1">
      <alignment vertical="center"/>
    </xf>
    <xf numFmtId="187" fontId="6" fillId="0" borderId="8" xfId="1" applyFont="1" applyBorder="1" applyAlignment="1">
      <alignment horizontal="right" vertical="center"/>
    </xf>
    <xf numFmtId="187" fontId="6" fillId="0" borderId="8" xfId="1" applyFont="1" applyBorder="1" applyAlignment="1">
      <alignment vertical="center"/>
    </xf>
    <xf numFmtId="187" fontId="6" fillId="0" borderId="33" xfId="1" applyFont="1" applyBorder="1" applyAlignment="1">
      <alignment horizontal="right" vertical="center"/>
    </xf>
    <xf numFmtId="187" fontId="6" fillId="2" borderId="9" xfId="1" applyFont="1" applyFill="1" applyBorder="1" applyAlignment="1">
      <alignment horizontal="center" vertical="center"/>
    </xf>
    <xf numFmtId="187" fontId="6" fillId="0" borderId="3" xfId="1" applyFont="1" applyBorder="1" applyAlignment="1">
      <alignment horizontal="right" vertical="center"/>
    </xf>
    <xf numFmtId="187" fontId="4" fillId="0" borderId="8" xfId="1" applyFont="1" applyBorder="1" applyAlignment="1">
      <alignment horizontal="right" vertical="center"/>
    </xf>
    <xf numFmtId="187" fontId="4" fillId="0" borderId="8" xfId="1" applyFont="1" applyBorder="1" applyAlignment="1">
      <alignment vertical="center"/>
    </xf>
    <xf numFmtId="187" fontId="4" fillId="0" borderId="8" xfId="1" applyFont="1" applyBorder="1" applyAlignment="1">
      <alignment horizontal="center" vertical="center"/>
    </xf>
    <xf numFmtId="187" fontId="4" fillId="2" borderId="8" xfId="1" applyFont="1" applyFill="1" applyBorder="1" applyAlignment="1">
      <alignment horizontal="center" vertical="center"/>
    </xf>
    <xf numFmtId="187" fontId="4" fillId="0" borderId="73" xfId="1" applyFont="1" applyBorder="1" applyAlignment="1">
      <alignment horizontal="center" vertical="center"/>
    </xf>
    <xf numFmtId="187" fontId="4" fillId="2" borderId="73" xfId="1" applyFont="1" applyFill="1" applyBorder="1" applyAlignment="1">
      <alignment horizontal="center" vertical="center"/>
    </xf>
    <xf numFmtId="187" fontId="4" fillId="0" borderId="73" xfId="1" applyFont="1" applyBorder="1" applyAlignment="1">
      <alignment horizontal="right" vertical="center"/>
    </xf>
    <xf numFmtId="187" fontId="4" fillId="0" borderId="33" xfId="1" applyFont="1" applyBorder="1" applyAlignment="1">
      <alignment vertical="center"/>
    </xf>
    <xf numFmtId="187" fontId="4" fillId="0" borderId="33" xfId="1" applyFont="1" applyBorder="1" applyAlignment="1">
      <alignment horizontal="center" vertical="center"/>
    </xf>
    <xf numFmtId="187" fontId="4" fillId="0" borderId="73" xfId="1" applyFont="1" applyBorder="1" applyAlignment="1">
      <alignment vertical="center"/>
    </xf>
    <xf numFmtId="187" fontId="5" fillId="8" borderId="10" xfId="1" applyFont="1" applyFill="1" applyBorder="1" applyAlignment="1">
      <alignment horizontal="right" vertical="center"/>
    </xf>
    <xf numFmtId="188" fontId="8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88" fontId="5" fillId="0" borderId="12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30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43" fillId="0" borderId="3" xfId="0" applyFont="1" applyFill="1" applyBorder="1"/>
    <xf numFmtId="201" fontId="4" fillId="0" borderId="3" xfId="1" applyNumberFormat="1" applyFont="1" applyFill="1" applyBorder="1" applyAlignment="1">
      <alignment horizontal="center"/>
    </xf>
    <xf numFmtId="187" fontId="4" fillId="0" borderId="3" xfId="1" applyFont="1" applyFill="1" applyBorder="1" applyAlignment="1">
      <alignment horizontal="right"/>
    </xf>
    <xf numFmtId="187" fontId="4" fillId="0" borderId="5" xfId="1" applyFont="1" applyFill="1" applyBorder="1"/>
    <xf numFmtId="187" fontId="4" fillId="0" borderId="3" xfId="1" applyFont="1" applyBorder="1" applyAlignment="1">
      <alignment horizontal="right"/>
    </xf>
    <xf numFmtId="188" fontId="4" fillId="0" borderId="6" xfId="4" applyNumberFormat="1" applyFont="1" applyFill="1" applyBorder="1" applyAlignment="1">
      <alignment horizontal="right" vertical="center"/>
    </xf>
    <xf numFmtId="188" fontId="4" fillId="0" borderId="5" xfId="4" applyNumberFormat="1" applyFont="1" applyFill="1" applyBorder="1" applyAlignment="1">
      <alignment vertical="center"/>
    </xf>
    <xf numFmtId="187" fontId="4" fillId="0" borderId="5" xfId="1" applyFont="1" applyFill="1" applyBorder="1" applyAlignment="1">
      <alignment vertical="center"/>
    </xf>
    <xf numFmtId="0" fontId="44" fillId="0" borderId="3" xfId="0" applyFont="1" applyFill="1" applyBorder="1"/>
    <xf numFmtId="188" fontId="4" fillId="0" borderId="3" xfId="4" applyNumberFormat="1" applyFont="1" applyFill="1" applyBorder="1" applyAlignment="1">
      <alignment horizontal="center" vertical="center"/>
    </xf>
    <xf numFmtId="187" fontId="4" fillId="0" borderId="3" xfId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/>
    <xf numFmtId="3" fontId="4" fillId="0" borderId="3" xfId="4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6" xfId="1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/>
    </xf>
    <xf numFmtId="187" fontId="4" fillId="8" borderId="3" xfId="1" applyFont="1" applyFill="1" applyBorder="1" applyAlignment="1">
      <alignment horizontal="right"/>
    </xf>
    <xf numFmtId="187" fontId="4" fillId="0" borderId="6" xfId="1" applyFont="1" applyFill="1" applyBorder="1" applyAlignment="1">
      <alignment horizontal="center"/>
    </xf>
    <xf numFmtId="187" fontId="4" fillId="0" borderId="5" xfId="1" applyFont="1" applyFill="1" applyBorder="1" applyAlignment="1">
      <alignment horizontal="center"/>
    </xf>
    <xf numFmtId="187" fontId="5" fillId="8" borderId="3" xfId="1" applyFont="1" applyFill="1" applyBorder="1" applyAlignment="1">
      <alignment vertical="center"/>
    </xf>
    <xf numFmtId="0" fontId="43" fillId="16" borderId="10" xfId="0" applyFont="1" applyFill="1" applyBorder="1" applyAlignment="1">
      <alignment horizontal="left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8" xfId="0" applyNumberFormat="1" applyFont="1" applyBorder="1" applyAlignment="1">
      <alignment vertical="center"/>
    </xf>
    <xf numFmtId="4" fontId="4" fillId="0" borderId="8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5" fillId="0" borderId="3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187" fontId="4" fillId="0" borderId="3" xfId="1" applyFont="1" applyFill="1" applyBorder="1" applyAlignment="1">
      <alignment horizontal="center"/>
    </xf>
    <xf numFmtId="3" fontId="4" fillId="0" borderId="0" xfId="0" applyNumberFormat="1" applyFont="1" applyFill="1" applyAlignment="1">
      <alignment vertical="center"/>
    </xf>
    <xf numFmtId="187" fontId="4" fillId="0" borderId="6" xfId="1" applyFont="1" applyFill="1" applyBorder="1" applyAlignment="1">
      <alignment horizontal="right" vertical="center"/>
    </xf>
    <xf numFmtId="0" fontId="46" fillId="0" borderId="10" xfId="0" applyFont="1" applyFill="1" applyBorder="1" applyAlignment="1">
      <alignment horizontal="left" vertical="center"/>
    </xf>
    <xf numFmtId="187" fontId="4" fillId="0" borderId="8" xfId="1" applyFont="1" applyBorder="1" applyAlignment="1">
      <alignment horizontal="center"/>
    </xf>
    <xf numFmtId="187" fontId="4" fillId="0" borderId="6" xfId="1" applyFont="1" applyFill="1" applyBorder="1" applyAlignment="1">
      <alignment horizontal="right"/>
    </xf>
    <xf numFmtId="3" fontId="4" fillId="0" borderId="0" xfId="0" applyNumberFormat="1" applyFont="1"/>
    <xf numFmtId="0" fontId="47" fillId="0" borderId="3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187" fontId="4" fillId="0" borderId="6" xfId="1" applyFont="1" applyFill="1" applyBorder="1" applyAlignment="1"/>
    <xf numFmtId="187" fontId="4" fillId="0" borderId="5" xfId="1" applyFont="1" applyFill="1" applyBorder="1" applyAlignment="1"/>
    <xf numFmtId="0" fontId="4" fillId="0" borderId="3" xfId="0" applyFont="1" applyFill="1" applyBorder="1" applyAlignment="1">
      <alignment horizontal="left"/>
    </xf>
    <xf numFmtId="187" fontId="4" fillId="2" borderId="3" xfId="1" applyFont="1" applyFill="1" applyBorder="1" applyAlignment="1">
      <alignment horizontal="right"/>
    </xf>
    <xf numFmtId="189" fontId="4" fillId="0" borderId="0" xfId="0" applyNumberFormat="1" applyFont="1"/>
    <xf numFmtId="188" fontId="4" fillId="0" borderId="0" xfId="0" applyNumberFormat="1" applyFont="1" applyFill="1" applyAlignment="1">
      <alignment vertical="center"/>
    </xf>
    <xf numFmtId="187" fontId="48" fillId="0" borderId="3" xfId="1" applyFont="1" applyFill="1" applyBorder="1" applyAlignment="1">
      <alignment horizontal="right"/>
    </xf>
    <xf numFmtId="187" fontId="48" fillId="0" borderId="5" xfId="1" applyFont="1" applyFill="1" applyBorder="1"/>
    <xf numFmtId="3" fontId="5" fillId="0" borderId="3" xfId="1" applyNumberFormat="1" applyFont="1" applyFill="1" applyBorder="1" applyAlignment="1">
      <alignment horizontal="center"/>
    </xf>
    <xf numFmtId="187" fontId="49" fillId="0" borderId="3" xfId="1" applyFont="1" applyFill="1" applyBorder="1" applyAlignment="1">
      <alignment horizontal="right"/>
    </xf>
    <xf numFmtId="187" fontId="49" fillId="11" borderId="5" xfId="1" applyFont="1" applyFill="1" applyBorder="1"/>
    <xf numFmtId="0" fontId="5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89" fontId="4" fillId="0" borderId="76" xfId="0" applyNumberFormat="1" applyFont="1" applyFill="1" applyBorder="1" applyAlignment="1">
      <alignment vertical="center"/>
    </xf>
    <xf numFmtId="43" fontId="4" fillId="0" borderId="0" xfId="0" applyNumberFormat="1" applyFont="1" applyFill="1" applyAlignment="1">
      <alignment vertical="center"/>
    </xf>
    <xf numFmtId="0" fontId="5" fillId="0" borderId="3" xfId="0" applyFont="1" applyBorder="1"/>
    <xf numFmtId="3" fontId="4" fillId="0" borderId="3" xfId="1" applyNumberFormat="1" applyFont="1" applyBorder="1" applyAlignment="1">
      <alignment horizontal="center"/>
    </xf>
    <xf numFmtId="188" fontId="4" fillId="0" borderId="3" xfId="1" applyNumberFormat="1" applyFont="1" applyBorder="1"/>
    <xf numFmtId="0" fontId="4" fillId="0" borderId="3" xfId="7" applyFont="1" applyFill="1" applyBorder="1"/>
    <xf numFmtId="3" fontId="4" fillId="0" borderId="3" xfId="8" quotePrefix="1" applyNumberFormat="1" applyFont="1" applyFill="1" applyBorder="1" applyAlignment="1">
      <alignment horizontal="center"/>
    </xf>
    <xf numFmtId="0" fontId="4" fillId="0" borderId="5" xfId="7" applyFont="1" applyFill="1" applyBorder="1" applyAlignment="1">
      <alignment horizontal="center"/>
    </xf>
    <xf numFmtId="188" fontId="4" fillId="0" borderId="3" xfId="8" applyNumberFormat="1" applyFont="1" applyFill="1" applyBorder="1"/>
    <xf numFmtId="188" fontId="4" fillId="16" borderId="3" xfId="8" applyNumberFormat="1" applyFont="1" applyFill="1" applyBorder="1"/>
    <xf numFmtId="188" fontId="4" fillId="16" borderId="3" xfId="9" applyNumberFormat="1" applyFont="1" applyFill="1" applyBorder="1" applyAlignment="1">
      <alignment horizontal="right"/>
    </xf>
    <xf numFmtId="188" fontId="4" fillId="16" borderId="5" xfId="0" applyNumberFormat="1" applyFont="1" applyFill="1" applyBorder="1"/>
    <xf numFmtId="188" fontId="4" fillId="0" borderId="0" xfId="0" applyNumberFormat="1" applyFont="1" applyFill="1"/>
    <xf numFmtId="3" fontId="4" fillId="0" borderId="3" xfId="8" applyNumberFormat="1" applyFont="1" applyFill="1" applyBorder="1" applyAlignment="1">
      <alignment horizontal="center"/>
    </xf>
    <xf numFmtId="187" fontId="4" fillId="16" borderId="3" xfId="1" applyFont="1" applyFill="1" applyBorder="1"/>
    <xf numFmtId="187" fontId="4" fillId="16" borderId="3" xfId="1" applyFont="1" applyFill="1" applyBorder="1" applyAlignment="1">
      <alignment horizontal="right"/>
    </xf>
    <xf numFmtId="187" fontId="4" fillId="16" borderId="5" xfId="1" applyFont="1" applyFill="1" applyBorder="1"/>
    <xf numFmtId="0" fontId="4" fillId="16" borderId="3" xfId="0" applyFont="1" applyFill="1" applyBorder="1"/>
    <xf numFmtId="3" fontId="4" fillId="16" borderId="3" xfId="9" applyNumberFormat="1" applyFont="1" applyFill="1" applyBorder="1" applyAlignment="1">
      <alignment horizontal="center"/>
    </xf>
    <xf numFmtId="0" fontId="4" fillId="16" borderId="5" xfId="0" applyFont="1" applyFill="1" applyBorder="1" applyAlignment="1">
      <alignment horizontal="center"/>
    </xf>
    <xf numFmtId="0" fontId="48" fillId="0" borderId="3" xfId="7" applyFont="1" applyFill="1" applyBorder="1"/>
    <xf numFmtId="0" fontId="5" fillId="16" borderId="10" xfId="0" applyFont="1" applyFill="1" applyBorder="1" applyAlignment="1">
      <alignment horizontal="center"/>
    </xf>
    <xf numFmtId="0" fontId="44" fillId="16" borderId="3" xfId="0" applyFont="1" applyFill="1" applyBorder="1"/>
    <xf numFmtId="0" fontId="5" fillId="16" borderId="10" xfId="0" applyFont="1" applyFill="1" applyBorder="1" applyAlignment="1">
      <alignment horizontal="center" vertical="center"/>
    </xf>
    <xf numFmtId="0" fontId="4" fillId="16" borderId="0" xfId="0" applyFont="1" applyFill="1"/>
    <xf numFmtId="0" fontId="4" fillId="16" borderId="0" xfId="0" applyFont="1" applyFill="1" applyAlignment="1">
      <alignment horizontal="center"/>
    </xf>
    <xf numFmtId="0" fontId="48" fillId="0" borderId="3" xfId="0" applyFont="1" applyFill="1" applyBorder="1"/>
    <xf numFmtId="3" fontId="4" fillId="0" borderId="7" xfId="9" applyNumberFormat="1" applyFont="1" applyFill="1" applyBorder="1" applyAlignment="1">
      <alignment horizontal="center"/>
    </xf>
    <xf numFmtId="187" fontId="4" fillId="0" borderId="5" xfId="1" applyFont="1" applyFill="1" applyBorder="1" applyAlignment="1">
      <alignment horizontal="right"/>
    </xf>
    <xf numFmtId="3" fontId="4" fillId="0" borderId="10" xfId="8" applyNumberFormat="1" applyFont="1" applyFill="1" applyBorder="1" applyAlignment="1">
      <alignment horizontal="center"/>
    </xf>
    <xf numFmtId="0" fontId="4" fillId="0" borderId="12" xfId="7" applyFont="1" applyFill="1" applyBorder="1" applyAlignment="1">
      <alignment horizontal="center"/>
    </xf>
    <xf numFmtId="3" fontId="4" fillId="0" borderId="3" xfId="9" quotePrefix="1" applyNumberFormat="1" applyFont="1" applyFill="1" applyBorder="1" applyAlignment="1">
      <alignment horizontal="center"/>
    </xf>
    <xf numFmtId="189" fontId="5" fillId="0" borderId="0" xfId="0" applyNumberFormat="1" applyFont="1" applyFill="1" applyAlignment="1">
      <alignment vertical="center"/>
    </xf>
    <xf numFmtId="187" fontId="5" fillId="17" borderId="3" xfId="1" applyFont="1" applyFill="1" applyBorder="1" applyAlignment="1">
      <alignment vertical="center"/>
    </xf>
    <xf numFmtId="3" fontId="4" fillId="0" borderId="3" xfId="9" applyNumberFormat="1" applyFont="1" applyBorder="1" applyAlignment="1">
      <alignment horizontal="center"/>
    </xf>
    <xf numFmtId="187" fontId="4" fillId="0" borderId="3" xfId="1" applyFont="1" applyBorder="1"/>
    <xf numFmtId="187" fontId="4" fillId="0" borderId="5" xfId="1" applyFont="1" applyBorder="1"/>
    <xf numFmtId="3" fontId="4" fillId="0" borderId="3" xfId="9" applyNumberFormat="1" applyFont="1" applyFill="1" applyBorder="1" applyAlignment="1">
      <alignment horizontal="center"/>
    </xf>
    <xf numFmtId="0" fontId="5" fillId="0" borderId="6" xfId="0" applyFont="1" applyFill="1" applyBorder="1" applyAlignment="1"/>
    <xf numFmtId="187" fontId="4" fillId="0" borderId="10" xfId="1" applyFont="1" applyFill="1" applyBorder="1" applyAlignment="1">
      <alignment horizontal="center"/>
    </xf>
    <xf numFmtId="187" fontId="4" fillId="16" borderId="3" xfId="1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3" fontId="4" fillId="0" borderId="3" xfId="9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4" fillId="0" borderId="3" xfId="1" applyFont="1" applyBorder="1" applyAlignment="1">
      <alignment vertical="center"/>
    </xf>
    <xf numFmtId="187" fontId="4" fillId="0" borderId="3" xfId="1" applyFont="1" applyBorder="1" applyAlignment="1">
      <alignment horizontal="right" vertical="center"/>
    </xf>
    <xf numFmtId="0" fontId="4" fillId="0" borderId="0" xfId="0" applyFont="1" applyFill="1" applyAlignment="1">
      <alignment horizontal="center"/>
    </xf>
    <xf numFmtId="188" fontId="4" fillId="0" borderId="0" xfId="0" applyNumberFormat="1" applyFont="1" applyFill="1" applyAlignment="1">
      <alignment horizontal="center"/>
    </xf>
    <xf numFmtId="187" fontId="4" fillId="2" borderId="12" xfId="1" applyFont="1" applyFill="1" applyBorder="1" applyAlignment="1">
      <alignment horizontal="right" vertical="center"/>
    </xf>
    <xf numFmtId="187" fontId="4" fillId="0" borderId="3" xfId="1" applyFont="1" applyFill="1" applyBorder="1" applyAlignment="1">
      <alignment vertical="center"/>
    </xf>
    <xf numFmtId="0" fontId="4" fillId="0" borderId="0" xfId="0" applyFont="1" applyAlignment="1">
      <alignment horizontal="right"/>
    </xf>
    <xf numFmtId="188" fontId="4" fillId="0" borderId="0" xfId="0" applyNumberFormat="1" applyFont="1" applyBorder="1"/>
    <xf numFmtId="0" fontId="5" fillId="0" borderId="3" xfId="0" applyFont="1" applyFill="1" applyBorder="1"/>
    <xf numFmtId="0" fontId="5" fillId="0" borderId="0" xfId="0" applyFont="1" applyFill="1" applyBorder="1"/>
    <xf numFmtId="0" fontId="4" fillId="0" borderId="7" xfId="0" applyFont="1" applyFill="1" applyBorder="1"/>
    <xf numFmtId="0" fontId="4" fillId="0" borderId="7" xfId="0" applyFont="1" applyBorder="1"/>
    <xf numFmtId="0" fontId="5" fillId="0" borderId="3" xfId="7" applyFont="1" applyFill="1" applyBorder="1"/>
    <xf numFmtId="0" fontId="4" fillId="0" borderId="6" xfId="0" applyFont="1" applyFill="1" applyBorder="1"/>
    <xf numFmtId="187" fontId="4" fillId="16" borderId="6" xfId="1" applyFont="1" applyFill="1" applyBorder="1" applyAlignment="1">
      <alignment horizontal="right"/>
    </xf>
    <xf numFmtId="9" fontId="4" fillId="0" borderId="0" xfId="0" applyNumberFormat="1" applyFont="1" applyFill="1"/>
    <xf numFmtId="0" fontId="4" fillId="0" borderId="6" xfId="7" applyFont="1" applyFill="1" applyBorder="1"/>
    <xf numFmtId="187" fontId="4" fillId="16" borderId="1" xfId="1" applyFont="1" applyFill="1" applyBorder="1"/>
    <xf numFmtId="0" fontId="5" fillId="0" borderId="6" xfId="7" applyFont="1" applyFill="1" applyBorder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3" fontId="4" fillId="0" borderId="7" xfId="8" applyNumberFormat="1" applyFont="1" applyFill="1" applyBorder="1" applyAlignment="1">
      <alignment horizontal="center"/>
    </xf>
    <xf numFmtId="189" fontId="4" fillId="0" borderId="7" xfId="8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189" fontId="4" fillId="0" borderId="3" xfId="8" applyNumberFormat="1" applyFont="1" applyFill="1" applyBorder="1" applyAlignment="1">
      <alignment horizontal="center"/>
    </xf>
    <xf numFmtId="0" fontId="4" fillId="0" borderId="10" xfId="7" applyFont="1" applyFill="1" applyBorder="1"/>
    <xf numFmtId="0" fontId="4" fillId="0" borderId="3" xfId="7" applyFont="1" applyFill="1" applyBorder="1" applyAlignment="1">
      <alignment horizontal="center"/>
    </xf>
    <xf numFmtId="187" fontId="4" fillId="16" borderId="3" xfId="1" applyFont="1" applyFill="1" applyBorder="1" applyAlignment="1">
      <alignment horizontal="right" vertical="center"/>
    </xf>
    <xf numFmtId="187" fontId="4" fillId="16" borderId="5" xfId="1" applyFont="1" applyFill="1" applyBorder="1" applyAlignment="1">
      <alignment vertical="center"/>
    </xf>
    <xf numFmtId="0" fontId="4" fillId="0" borderId="10" xfId="0" applyFont="1" applyFill="1" applyBorder="1"/>
    <xf numFmtId="0" fontId="4" fillId="0" borderId="10" xfId="0" applyFont="1" applyFill="1" applyBorder="1" applyAlignment="1">
      <alignment horizontal="center"/>
    </xf>
    <xf numFmtId="187" fontId="4" fillId="0" borderId="10" xfId="1" applyFont="1" applyFill="1" applyBorder="1"/>
    <xf numFmtId="189" fontId="4" fillId="0" borderId="0" xfId="0" applyNumberFormat="1" applyFont="1" applyFill="1" applyAlignment="1">
      <alignment horizontal="center" vertical="center"/>
    </xf>
    <xf numFmtId="0" fontId="4" fillId="16" borderId="3" xfId="0" applyFont="1" applyFill="1" applyBorder="1" applyAlignment="1">
      <alignment vertical="center"/>
    </xf>
    <xf numFmtId="0" fontId="5" fillId="16" borderId="3" xfId="0" applyFont="1" applyFill="1" applyBorder="1" applyAlignment="1">
      <alignment vertical="center"/>
    </xf>
    <xf numFmtId="0" fontId="4" fillId="16" borderId="0" xfId="0" applyFont="1" applyFill="1" applyAlignment="1">
      <alignment vertical="center"/>
    </xf>
    <xf numFmtId="188" fontId="4" fillId="16" borderId="0" xfId="0" applyNumberFormat="1" applyFont="1" applyFill="1" applyAlignment="1">
      <alignment vertical="center"/>
    </xf>
    <xf numFmtId="187" fontId="4" fillId="0" borderId="1" xfId="1" applyFont="1" applyFill="1" applyBorder="1"/>
    <xf numFmtId="187" fontId="4" fillId="2" borderId="12" xfId="1" applyFont="1" applyFill="1" applyBorder="1" applyAlignment="1">
      <alignment horizontal="right"/>
    </xf>
    <xf numFmtId="0" fontId="4" fillId="0" borderId="6" xfId="7" applyFont="1" applyFill="1" applyBorder="1" applyAlignment="1"/>
    <xf numFmtId="3" fontId="4" fillId="0" borderId="0" xfId="0" applyNumberFormat="1" applyFont="1" applyFill="1"/>
    <xf numFmtId="3" fontId="4" fillId="0" borderId="5" xfId="0" applyNumberFormat="1" applyFont="1" applyFill="1" applyBorder="1" applyAlignment="1">
      <alignment horizontal="center"/>
    </xf>
    <xf numFmtId="187" fontId="5" fillId="0" borderId="3" xfId="1" applyFont="1" applyFill="1" applyBorder="1" applyAlignment="1">
      <alignment horizontal="right"/>
    </xf>
    <xf numFmtId="188" fontId="4" fillId="0" borderId="3" xfId="8" applyNumberFormat="1" applyFont="1" applyFill="1" applyBorder="1" applyAlignment="1">
      <alignment horizontal="right"/>
    </xf>
    <xf numFmtId="188" fontId="4" fillId="0" borderId="3" xfId="9" applyNumberFormat="1" applyFont="1" applyFill="1" applyBorder="1"/>
    <xf numFmtId="188" fontId="4" fillId="0" borderId="3" xfId="9" applyNumberFormat="1" applyFont="1" applyFill="1" applyBorder="1" applyAlignment="1">
      <alignment horizontal="center"/>
    </xf>
    <xf numFmtId="188" fontId="4" fillId="0" borderId="1" xfId="0" applyNumberFormat="1" applyFont="1" applyFill="1" applyBorder="1"/>
    <xf numFmtId="188" fontId="4" fillId="0" borderId="3" xfId="9" applyNumberFormat="1" applyFont="1" applyBorder="1" applyAlignment="1">
      <alignment horizontal="right"/>
    </xf>
    <xf numFmtId="188" fontId="4" fillId="0" borderId="3" xfId="9" applyNumberFormat="1" applyFont="1" applyFill="1" applyBorder="1" applyAlignment="1">
      <alignment horizontal="right"/>
    </xf>
    <xf numFmtId="189" fontId="5" fillId="17" borderId="3" xfId="1" applyNumberFormat="1" applyFont="1" applyFill="1" applyBorder="1" applyAlignment="1">
      <alignment vertical="center"/>
    </xf>
    <xf numFmtId="188" fontId="5" fillId="0" borderId="3" xfId="1" applyNumberFormat="1" applyFont="1" applyFill="1" applyBorder="1" applyAlignment="1">
      <alignment horizontal="right"/>
    </xf>
    <xf numFmtId="188" fontId="5" fillId="11" borderId="5" xfId="0" applyNumberFormat="1" applyFont="1" applyFill="1" applyBorder="1"/>
    <xf numFmtId="187" fontId="5" fillId="0" borderId="10" xfId="1" applyFont="1" applyFill="1" applyBorder="1" applyAlignment="1">
      <alignment horizontal="center" vertical="center"/>
    </xf>
    <xf numFmtId="187" fontId="5" fillId="0" borderId="12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3" fontId="5" fillId="16" borderId="24" xfId="10" applyFont="1" applyFill="1" applyBorder="1" applyAlignment="1">
      <alignment horizontal="left" vertical="center"/>
    </xf>
    <xf numFmtId="3" fontId="4" fillId="0" borderId="3" xfId="4" applyNumberFormat="1" applyFont="1" applyFill="1" applyBorder="1" applyAlignment="1">
      <alignment horizontal="center" vertical="center"/>
    </xf>
    <xf numFmtId="187" fontId="4" fillId="0" borderId="6" xfId="1" applyFont="1" applyFill="1" applyBorder="1" applyAlignment="1">
      <alignment horizontal="center" vertical="center"/>
    </xf>
    <xf numFmtId="187" fontId="4" fillId="0" borderId="5" xfId="1" applyFont="1" applyFill="1" applyBorder="1" applyAlignment="1">
      <alignment horizontal="center" vertical="center"/>
    </xf>
    <xf numFmtId="187" fontId="4" fillId="16" borderId="3" xfId="1" applyFont="1" applyFill="1" applyBorder="1" applyAlignment="1">
      <alignment vertical="center"/>
    </xf>
    <xf numFmtId="187" fontId="5" fillId="16" borderId="3" xfId="1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16" borderId="3" xfId="0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vertical="center"/>
    </xf>
    <xf numFmtId="3" fontId="4" fillId="16" borderId="3" xfId="4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vertical="center"/>
    </xf>
    <xf numFmtId="1" fontId="4" fillId="0" borderId="3" xfId="0" applyNumberFormat="1" applyFont="1" applyFill="1" applyBorder="1" applyAlignment="1">
      <alignment horizontal="center" vertical="center"/>
    </xf>
    <xf numFmtId="43" fontId="5" fillId="16" borderId="74" xfId="10" applyFont="1" applyFill="1" applyBorder="1" applyAlignment="1">
      <alignment horizontal="left" vertical="center"/>
    </xf>
    <xf numFmtId="0" fontId="48" fillId="0" borderId="3" xfId="0" applyFont="1" applyFill="1" applyBorder="1" applyAlignment="1">
      <alignment vertical="center"/>
    </xf>
    <xf numFmtId="187" fontId="4" fillId="0" borderId="6" xfId="1" applyFont="1" applyFill="1" applyBorder="1" applyAlignment="1">
      <alignment vertical="center"/>
    </xf>
    <xf numFmtId="187" fontId="4" fillId="16" borderId="3" xfId="1" applyFont="1" applyFill="1" applyBorder="1" applyAlignment="1">
      <alignment horizontal="center" vertical="center"/>
    </xf>
    <xf numFmtId="187" fontId="44" fillId="0" borderId="3" xfId="1" applyFont="1" applyFill="1" applyBorder="1" applyAlignment="1">
      <alignment horizontal="right"/>
    </xf>
    <xf numFmtId="187" fontId="5" fillId="0" borderId="3" xfId="1" applyFont="1" applyFill="1" applyBorder="1"/>
    <xf numFmtId="187" fontId="5" fillId="0" borderId="6" xfId="1" applyFont="1" applyFill="1" applyBorder="1" applyAlignment="1">
      <alignment horizontal="center"/>
    </xf>
    <xf numFmtId="187" fontId="5" fillId="0" borderId="5" xfId="1" applyFont="1" applyFill="1" applyBorder="1" applyAlignment="1">
      <alignment horizontal="center"/>
    </xf>
    <xf numFmtId="187" fontId="49" fillId="8" borderId="3" xfId="1" applyFont="1" applyFill="1" applyBorder="1" applyAlignment="1">
      <alignment vertical="center"/>
    </xf>
    <xf numFmtId="188" fontId="5" fillId="0" borderId="0" xfId="0" applyNumberFormat="1" applyFont="1" applyFill="1" applyAlignment="1">
      <alignment vertical="center"/>
    </xf>
    <xf numFmtId="188" fontId="4" fillId="0" borderId="100" xfId="1" applyNumberFormat="1" applyFont="1" applyFill="1" applyBorder="1" applyAlignment="1"/>
    <xf numFmtId="188" fontId="4" fillId="0" borderId="0" xfId="0" applyNumberFormat="1" applyFont="1"/>
    <xf numFmtId="187" fontId="4" fillId="0" borderId="3" xfId="1" applyFont="1" applyFill="1" applyBorder="1" applyAlignment="1"/>
    <xf numFmtId="0" fontId="4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top"/>
    </xf>
    <xf numFmtId="187" fontId="4" fillId="0" borderId="3" xfId="1" applyFont="1" applyFill="1" applyBorder="1" applyAlignment="1">
      <alignment horizontal="right" vertical="top"/>
    </xf>
    <xf numFmtId="187" fontId="4" fillId="0" borderId="3" xfId="1" applyFont="1" applyFill="1" applyBorder="1" applyAlignment="1">
      <alignment vertical="top"/>
    </xf>
    <xf numFmtId="3" fontId="4" fillId="0" borderId="3" xfId="1" applyNumberFormat="1" applyFont="1" applyFill="1" applyBorder="1" applyAlignment="1">
      <alignment horizontal="center" vertical="top"/>
    </xf>
    <xf numFmtId="3" fontId="4" fillId="0" borderId="3" xfId="0" applyNumberFormat="1" applyFont="1" applyBorder="1" applyAlignment="1">
      <alignment horizontal="center" vertical="center"/>
    </xf>
    <xf numFmtId="187" fontId="4" fillId="0" borderId="3" xfId="1" applyFont="1" applyBorder="1" applyAlignment="1">
      <alignment horizontal="center"/>
    </xf>
    <xf numFmtId="187" fontId="48" fillId="8" borderId="3" xfId="1" applyFont="1" applyFill="1" applyBorder="1" applyAlignment="1">
      <alignment horizontal="right"/>
    </xf>
    <xf numFmtId="187" fontId="4" fillId="0" borderId="0" xfId="0" applyNumberFormat="1" applyFont="1"/>
    <xf numFmtId="187" fontId="4" fillId="0" borderId="0" xfId="0" applyNumberFormat="1" applyFont="1" applyFill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48" fillId="0" borderId="3" xfId="0" applyFont="1" applyBorder="1"/>
    <xf numFmtId="3" fontId="4" fillId="0" borderId="3" xfId="0" applyNumberFormat="1" applyFont="1" applyBorder="1" applyAlignment="1">
      <alignment horizontal="center"/>
    </xf>
    <xf numFmtId="0" fontId="4" fillId="16" borderId="3" xfId="0" applyFont="1" applyFill="1" applyBorder="1" applyAlignment="1">
      <alignment horizontal="left" vertical="center"/>
    </xf>
    <xf numFmtId="187" fontId="4" fillId="16" borderId="10" xfId="1" applyFont="1" applyFill="1" applyBorder="1" applyAlignment="1">
      <alignment horizontal="center"/>
    </xf>
    <xf numFmtId="187" fontId="4" fillId="2" borderId="10" xfId="1" applyFont="1" applyFill="1" applyBorder="1" applyAlignment="1">
      <alignment horizontal="center"/>
    </xf>
    <xf numFmtId="187" fontId="4" fillId="2" borderId="12" xfId="1" applyFont="1" applyFill="1" applyBorder="1" applyAlignment="1">
      <alignment horizontal="center"/>
    </xf>
    <xf numFmtId="0" fontId="4" fillId="0" borderId="5" xfId="0" applyFont="1" applyFill="1" applyBorder="1"/>
    <xf numFmtId="3" fontId="4" fillId="16" borderId="3" xfId="9" applyNumberFormat="1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/>
    </xf>
    <xf numFmtId="0" fontId="4" fillId="16" borderId="3" xfId="0" quotePrefix="1" applyFont="1" applyFill="1" applyBorder="1"/>
    <xf numFmtId="3" fontId="4" fillId="16" borderId="3" xfId="4" quotePrefix="1" applyNumberFormat="1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187" fontId="4" fillId="0" borderId="10" xfId="1" applyFont="1" applyBorder="1" applyAlignment="1">
      <alignment horizontal="center"/>
    </xf>
    <xf numFmtId="187" fontId="4" fillId="0" borderId="12" xfId="1" applyFont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3" fontId="4" fillId="0" borderId="0" xfId="4" applyNumberFormat="1" applyFont="1" applyFill="1" applyBorder="1" applyAlignment="1">
      <alignment horizontal="center" vertical="center"/>
    </xf>
    <xf numFmtId="9" fontId="4" fillId="0" borderId="0" xfId="0" applyNumberFormat="1" applyFont="1" applyFill="1" applyAlignment="1">
      <alignment vertical="center"/>
    </xf>
    <xf numFmtId="1" fontId="4" fillId="0" borderId="0" xfId="0" applyNumberFormat="1" applyFont="1" applyFill="1" applyAlignment="1">
      <alignment vertical="center"/>
    </xf>
    <xf numFmtId="187" fontId="5" fillId="0" borderId="0" xfId="1" applyFont="1" applyFill="1" applyAlignment="1">
      <alignment vertical="center"/>
    </xf>
    <xf numFmtId="9" fontId="4" fillId="0" borderId="0" xfId="0" applyNumberFormat="1" applyFont="1" applyBorder="1"/>
    <xf numFmtId="0" fontId="8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8" fillId="0" borderId="0" xfId="1" applyNumberFormat="1" applyFont="1" applyAlignment="1">
      <alignment horizontal="center" vertical="center"/>
    </xf>
    <xf numFmtId="196" fontId="6" fillId="0" borderId="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3" applyFont="1" applyBorder="1" applyAlignment="1">
      <alignment horizontal="center" vertical="center"/>
    </xf>
    <xf numFmtId="0" fontId="4" fillId="0" borderId="20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187" fontId="4" fillId="0" borderId="6" xfId="1" applyFont="1" applyFill="1" applyBorder="1" applyAlignment="1">
      <alignment horizontal="center"/>
    </xf>
    <xf numFmtId="187" fontId="4" fillId="0" borderId="5" xfId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188" fontId="5" fillId="0" borderId="11" xfId="1" applyNumberFormat="1" applyFont="1" applyFill="1" applyBorder="1" applyAlignment="1">
      <alignment horizontal="center" vertical="center"/>
    </xf>
    <xf numFmtId="188" fontId="5" fillId="0" borderId="12" xfId="1" applyNumberFormat="1" applyFont="1" applyFill="1" applyBorder="1" applyAlignment="1">
      <alignment horizontal="center" vertical="center"/>
    </xf>
    <xf numFmtId="187" fontId="4" fillId="16" borderId="6" xfId="1" applyFont="1" applyFill="1" applyBorder="1" applyAlignment="1">
      <alignment horizontal="center"/>
    </xf>
    <xf numFmtId="187" fontId="4" fillId="16" borderId="5" xfId="1" applyFont="1" applyFill="1" applyBorder="1" applyAlignment="1">
      <alignment horizontal="center"/>
    </xf>
    <xf numFmtId="187" fontId="4" fillId="0" borderId="6" xfId="1" applyFont="1" applyFill="1" applyBorder="1" applyAlignment="1">
      <alignment horizontal="center" vertical="center"/>
    </xf>
    <xf numFmtId="187" fontId="4" fillId="0" borderId="5" xfId="1" applyFont="1" applyFill="1" applyBorder="1" applyAlignment="1">
      <alignment horizontal="center" vertical="center"/>
    </xf>
    <xf numFmtId="187" fontId="4" fillId="16" borderId="6" xfId="1" applyFont="1" applyFill="1" applyBorder="1" applyAlignment="1">
      <alignment horizontal="center" vertical="center"/>
    </xf>
    <xf numFmtId="187" fontId="4" fillId="16" borderId="5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88" fontId="8" fillId="0" borderId="11" xfId="1" applyNumberFormat="1" applyFont="1" applyFill="1" applyBorder="1" applyAlignment="1">
      <alignment horizontal="center" vertical="center"/>
    </xf>
    <xf numFmtId="188" fontId="8" fillId="0" borderId="12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9" fontId="16" fillId="8" borderId="49" xfId="6" applyFont="1" applyFill="1" applyBorder="1" applyAlignment="1">
      <alignment horizontal="center" vertical="center"/>
    </xf>
    <xf numFmtId="9" fontId="16" fillId="8" borderId="50" xfId="6" applyFont="1" applyFill="1" applyBorder="1" applyAlignment="1">
      <alignment horizontal="center" vertical="center"/>
    </xf>
    <xf numFmtId="9" fontId="16" fillId="8" borderId="51" xfId="6" applyFont="1" applyFill="1" applyBorder="1" applyAlignment="1">
      <alignment horizontal="center" vertical="center"/>
    </xf>
    <xf numFmtId="0" fontId="15" fillId="8" borderId="46" xfId="0" applyFont="1" applyFill="1" applyBorder="1" applyAlignment="1">
      <alignment horizontal="center" vertical="center"/>
    </xf>
    <xf numFmtId="0" fontId="15" fillId="8" borderId="47" xfId="0" applyFont="1" applyFill="1" applyBorder="1" applyAlignment="1">
      <alignment horizontal="center" vertical="center"/>
    </xf>
    <xf numFmtId="0" fontId="15" fillId="8" borderId="48" xfId="0" applyFont="1" applyFill="1" applyBorder="1" applyAlignment="1">
      <alignment horizontal="center" vertical="center"/>
    </xf>
    <xf numFmtId="0" fontId="15" fillId="8" borderId="49" xfId="0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9" fontId="31" fillId="8" borderId="49" xfId="6" applyFont="1" applyFill="1" applyBorder="1" applyAlignment="1">
      <alignment horizontal="center" vertical="center"/>
    </xf>
    <xf numFmtId="9" fontId="31" fillId="8" borderId="50" xfId="6" applyFont="1" applyFill="1" applyBorder="1" applyAlignment="1">
      <alignment horizontal="center" vertical="center"/>
    </xf>
    <xf numFmtId="9" fontId="16" fillId="8" borderId="83" xfId="5" applyFont="1" applyFill="1" applyBorder="1" applyAlignment="1">
      <alignment horizontal="center" vertical="center"/>
    </xf>
    <xf numFmtId="9" fontId="16" fillId="8" borderId="82" xfId="5" applyFont="1" applyFill="1" applyBorder="1" applyAlignment="1">
      <alignment horizontal="center" vertical="center"/>
    </xf>
    <xf numFmtId="9" fontId="16" fillId="8" borderId="81" xfId="5" applyFont="1" applyFill="1" applyBorder="1" applyAlignment="1">
      <alignment horizontal="center" vertical="center"/>
    </xf>
    <xf numFmtId="9" fontId="16" fillId="8" borderId="87" xfId="5" applyFont="1" applyFill="1" applyBorder="1" applyAlignment="1">
      <alignment horizontal="center" vertical="center"/>
    </xf>
    <xf numFmtId="9" fontId="16" fillId="8" borderId="88" xfId="5" applyFont="1" applyFill="1" applyBorder="1" applyAlignment="1">
      <alignment horizontal="center" vertical="center"/>
    </xf>
    <xf numFmtId="9" fontId="16" fillId="8" borderId="89" xfId="5" applyFont="1" applyFill="1" applyBorder="1" applyAlignment="1">
      <alignment horizontal="center" vertical="center"/>
    </xf>
    <xf numFmtId="9" fontId="16" fillId="8" borderId="84" xfId="5" applyFont="1" applyFill="1" applyBorder="1" applyAlignment="1">
      <alignment horizontal="center" vertical="center"/>
    </xf>
    <xf numFmtId="9" fontId="31" fillId="8" borderId="51" xfId="6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4" fillId="0" borderId="1" xfId="3" applyFont="1" applyBorder="1" applyAlignment="1" applyProtection="1">
      <alignment horizontal="left" vertical="center"/>
      <protection locked="0"/>
    </xf>
    <xf numFmtId="197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4" xfId="3" applyFont="1" applyBorder="1" applyAlignment="1" applyProtection="1">
      <alignment horizontal="center" vertical="center"/>
      <protection locked="0"/>
    </xf>
    <xf numFmtId="0" fontId="4" fillId="11" borderId="71" xfId="0" applyFont="1" applyFill="1" applyBorder="1" applyAlignment="1">
      <alignment horizontal="left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left" vertical="center"/>
    </xf>
    <xf numFmtId="0" fontId="4" fillId="11" borderId="99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left" vertical="center"/>
    </xf>
    <xf numFmtId="0" fontId="4" fillId="8" borderId="12" xfId="0" applyFont="1" applyFill="1" applyBorder="1" applyAlignment="1">
      <alignment horizontal="center" vertical="center"/>
    </xf>
    <xf numFmtId="188" fontId="4" fillId="0" borderId="8" xfId="1" applyNumberFormat="1" applyFont="1" applyBorder="1" applyAlignment="1">
      <alignment vertical="center"/>
    </xf>
    <xf numFmtId="188" fontId="4" fillId="0" borderId="0" xfId="0" applyNumberFormat="1" applyFont="1" applyAlignment="1">
      <alignment vertical="center"/>
    </xf>
    <xf numFmtId="188" fontId="4" fillId="0" borderId="8" xfId="1" applyNumberFormat="1" applyFont="1" applyBorder="1" applyAlignment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4" fillId="0" borderId="22" xfId="0" applyFont="1" applyBorder="1" applyAlignment="1">
      <alignment horizontal="center" vertical="center"/>
    </xf>
    <xf numFmtId="192" fontId="4" fillId="0" borderId="8" xfId="1" applyNumberFormat="1" applyFont="1" applyBorder="1" applyAlignment="1">
      <alignment horizontal="center" vertical="center"/>
    </xf>
    <xf numFmtId="188" fontId="47" fillId="0" borderId="0" xfId="0" applyNumberFormat="1" applyFont="1" applyAlignment="1">
      <alignment horizontal="right" vertical="center"/>
    </xf>
    <xf numFmtId="188" fontId="47" fillId="0" borderId="0" xfId="0" applyNumberFormat="1" applyFont="1" applyFill="1" applyAlignment="1" applyProtection="1">
      <alignment horizontal="right" vertical="center"/>
    </xf>
    <xf numFmtId="0" fontId="4" fillId="0" borderId="55" xfId="3" applyFont="1" applyBorder="1" applyAlignment="1">
      <alignment horizontal="center" vertical="center"/>
    </xf>
    <xf numFmtId="0" fontId="4" fillId="0" borderId="56" xfId="3" applyFont="1" applyBorder="1" applyAlignment="1">
      <alignment horizontal="center" vertical="center"/>
    </xf>
    <xf numFmtId="0" fontId="4" fillId="0" borderId="57" xfId="3" applyFont="1" applyBorder="1" applyAlignment="1">
      <alignment horizontal="center" vertical="center"/>
    </xf>
    <xf numFmtId="188" fontId="4" fillId="0" borderId="58" xfId="1" applyNumberFormat="1" applyFont="1" applyBorder="1" applyAlignment="1">
      <alignment vertical="center"/>
    </xf>
    <xf numFmtId="192" fontId="4" fillId="0" borderId="8" xfId="3" applyNumberFormat="1" applyFont="1" applyBorder="1" applyAlignment="1">
      <alignment horizontal="center" vertical="center"/>
    </xf>
    <xf numFmtId="190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24" xfId="3" applyFont="1" applyBorder="1" applyAlignment="1">
      <alignment vertical="center"/>
    </xf>
    <xf numFmtId="0" fontId="4" fillId="15" borderId="60" xfId="3" applyFont="1" applyFill="1" applyBorder="1" applyAlignment="1">
      <alignment vertical="center"/>
    </xf>
    <xf numFmtId="0" fontId="4" fillId="15" borderId="61" xfId="3" applyFont="1" applyFill="1" applyBorder="1" applyAlignment="1">
      <alignment vertical="center"/>
    </xf>
    <xf numFmtId="0" fontId="4" fillId="15" borderId="62" xfId="3" applyFont="1" applyFill="1" applyBorder="1" applyAlignment="1">
      <alignment vertical="center"/>
    </xf>
    <xf numFmtId="0" fontId="4" fillId="15" borderId="63" xfId="3" applyFont="1" applyFill="1" applyBorder="1" applyAlignment="1">
      <alignment horizontal="center" vertical="center"/>
    </xf>
    <xf numFmtId="9" fontId="4" fillId="2" borderId="22" xfId="3" applyNumberFormat="1" applyFont="1" applyFill="1" applyBorder="1" applyAlignment="1">
      <alignment horizontal="center" vertical="center"/>
    </xf>
    <xf numFmtId="191" fontId="4" fillId="0" borderId="8" xfId="3" applyNumberFormat="1" applyFont="1" applyBorder="1" applyAlignment="1">
      <alignment horizontal="right" vertical="center"/>
    </xf>
    <xf numFmtId="189" fontId="4" fillId="0" borderId="8" xfId="2" applyNumberFormat="1" applyFont="1" applyBorder="1" applyAlignment="1">
      <alignment vertical="center"/>
    </xf>
    <xf numFmtId="0" fontId="4" fillId="0" borderId="6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72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15" borderId="64" xfId="3" applyFont="1" applyFill="1" applyBorder="1" applyAlignment="1">
      <alignment vertical="center"/>
    </xf>
    <xf numFmtId="0" fontId="4" fillId="15" borderId="36" xfId="3" applyFont="1" applyFill="1" applyBorder="1" applyAlignment="1">
      <alignment vertical="center"/>
    </xf>
    <xf numFmtId="0" fontId="4" fillId="15" borderId="35" xfId="3" applyFont="1" applyFill="1" applyBorder="1" applyAlignment="1">
      <alignment vertical="center"/>
    </xf>
    <xf numFmtId="9" fontId="4" fillId="15" borderId="59" xfId="3" applyNumberFormat="1" applyFont="1" applyFill="1" applyBorder="1" applyAlignment="1" applyProtection="1">
      <alignment horizontal="center" vertical="center"/>
      <protection locked="0"/>
    </xf>
    <xf numFmtId="0" fontId="4" fillId="3" borderId="3" xfId="3" applyFont="1" applyFill="1" applyBorder="1" applyAlignment="1" applyProtection="1">
      <alignment horizontal="center" vertical="center"/>
    </xf>
    <xf numFmtId="189" fontId="4" fillId="7" borderId="3" xfId="1" applyNumberFormat="1" applyFont="1" applyFill="1" applyBorder="1" applyAlignment="1" applyProtection="1">
      <alignment vertical="center"/>
    </xf>
    <xf numFmtId="192" fontId="4" fillId="7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9" fontId="4" fillId="0" borderId="3" xfId="0" applyNumberFormat="1" applyFont="1" applyBorder="1" applyAlignment="1" applyProtection="1">
      <alignment horizontal="center" vertical="center"/>
    </xf>
    <xf numFmtId="9" fontId="4" fillId="0" borderId="31" xfId="0" applyNumberFormat="1" applyFont="1" applyBorder="1" applyAlignment="1" applyProtection="1">
      <alignment horizontal="center" vertical="center"/>
    </xf>
    <xf numFmtId="0" fontId="4" fillId="15" borderId="65" xfId="3" applyFont="1" applyFill="1" applyBorder="1" applyAlignment="1">
      <alignment vertical="center"/>
    </xf>
    <xf numFmtId="0" fontId="4" fillId="15" borderId="27" xfId="3" applyFont="1" applyFill="1" applyBorder="1" applyAlignment="1">
      <alignment vertical="center"/>
    </xf>
    <xf numFmtId="0" fontId="4" fillId="15" borderId="22" xfId="3" applyFont="1" applyFill="1" applyBorder="1" applyAlignment="1">
      <alignment vertical="center"/>
    </xf>
    <xf numFmtId="9" fontId="4" fillId="0" borderId="8" xfId="3" applyNumberFormat="1" applyFont="1" applyBorder="1" applyAlignment="1">
      <alignment horizontal="right" vertical="center"/>
    </xf>
    <xf numFmtId="190" fontId="4" fillId="0" borderId="8" xfId="2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3" borderId="3" xfId="0" applyFont="1" applyFill="1" applyBorder="1" applyAlignment="1" applyProtection="1">
      <alignment horizontal="center" vertical="center"/>
      <protection locked="0"/>
    </xf>
    <xf numFmtId="192" fontId="4" fillId="6" borderId="5" xfId="0" applyNumberFormat="1" applyFont="1" applyFill="1" applyBorder="1" applyAlignment="1" applyProtection="1">
      <alignment horizontal="center" vertical="center"/>
    </xf>
    <xf numFmtId="192" fontId="4" fillId="0" borderId="71" xfId="0" applyNumberFormat="1" applyFont="1" applyBorder="1" applyAlignment="1" applyProtection="1">
      <alignment horizontal="center" vertical="center"/>
    </xf>
    <xf numFmtId="192" fontId="4" fillId="0" borderId="4" xfId="0" applyNumberFormat="1" applyFont="1" applyBorder="1" applyAlignment="1" applyProtection="1">
      <alignment horizontal="center" vertical="center"/>
    </xf>
    <xf numFmtId="192" fontId="4" fillId="0" borderId="34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9" fontId="4" fillId="15" borderId="59" xfId="3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  <protection locked="0"/>
    </xf>
    <xf numFmtId="192" fontId="4" fillId="9" borderId="3" xfId="0" applyNumberFormat="1" applyFont="1" applyFill="1" applyBorder="1" applyAlignment="1" applyProtection="1">
      <alignment horizontal="center" vertical="center"/>
    </xf>
    <xf numFmtId="192" fontId="5" fillId="9" borderId="3" xfId="0" applyNumberFormat="1" applyFont="1" applyFill="1" applyBorder="1" applyAlignment="1" applyProtection="1">
      <alignment horizontal="center" vertical="center"/>
    </xf>
    <xf numFmtId="192" fontId="4" fillId="0" borderId="11" xfId="0" applyNumberFormat="1" applyFont="1" applyBorder="1" applyAlignment="1" applyProtection="1">
      <alignment horizontal="center" vertical="center"/>
    </xf>
    <xf numFmtId="192" fontId="4" fillId="0" borderId="2" xfId="0" applyNumberFormat="1" applyFont="1" applyBorder="1" applyAlignment="1" applyProtection="1">
      <alignment horizontal="center" vertical="center"/>
    </xf>
    <xf numFmtId="192" fontId="4" fillId="0" borderId="12" xfId="0" applyNumberFormat="1" applyFont="1" applyBorder="1" applyAlignment="1" applyProtection="1">
      <alignment horizontal="center" vertical="center"/>
    </xf>
    <xf numFmtId="0" fontId="4" fillId="0" borderId="25" xfId="3" applyFont="1" applyBorder="1" applyAlignment="1">
      <alignment vertical="center"/>
    </xf>
    <xf numFmtId="0" fontId="4" fillId="15" borderId="66" xfId="3" applyFont="1" applyFill="1" applyBorder="1" applyAlignment="1">
      <alignment vertical="center"/>
    </xf>
    <xf numFmtId="0" fontId="4" fillId="15" borderId="67" xfId="3" applyFont="1" applyFill="1" applyBorder="1" applyAlignment="1">
      <alignment vertical="center"/>
    </xf>
    <xf numFmtId="0" fontId="4" fillId="15" borderId="68" xfId="3" applyFont="1" applyFill="1" applyBorder="1" applyAlignment="1">
      <alignment vertical="center"/>
    </xf>
    <xf numFmtId="9" fontId="4" fillId="15" borderId="69" xfId="3" applyNumberFormat="1" applyFont="1" applyFill="1" applyBorder="1" applyAlignment="1">
      <alignment horizontal="center" vertical="center"/>
    </xf>
    <xf numFmtId="9" fontId="4" fillId="2" borderId="23" xfId="3" applyNumberFormat="1" applyFont="1" applyFill="1" applyBorder="1" applyAlignment="1">
      <alignment horizontal="center" vertical="center"/>
    </xf>
    <xf numFmtId="0" fontId="4" fillId="0" borderId="9" xfId="3" applyFont="1" applyBorder="1" applyAlignment="1">
      <alignment vertical="center"/>
    </xf>
    <xf numFmtId="189" fontId="4" fillId="0" borderId="9" xfId="2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187" fontId="5" fillId="8" borderId="3" xfId="1" applyFont="1" applyFill="1" applyBorder="1" applyAlignment="1">
      <alignment horizontal="right" vertical="center"/>
    </xf>
    <xf numFmtId="189" fontId="4" fillId="2" borderId="3" xfId="2" applyNumberFormat="1" applyFont="1" applyFill="1" applyBorder="1" applyAlignment="1">
      <alignment vertical="center"/>
    </xf>
    <xf numFmtId="192" fontId="5" fillId="0" borderId="0" xfId="0" applyNumberFormat="1" applyFont="1" applyAlignment="1">
      <alignment vertical="center"/>
    </xf>
    <xf numFmtId="188" fontId="5" fillId="0" borderId="0" xfId="1" applyNumberFormat="1" applyFont="1" applyAlignment="1">
      <alignment horizontal="right" vertical="center"/>
    </xf>
    <xf numFmtId="188" fontId="5" fillId="0" borderId="0" xfId="1" applyNumberFormat="1" applyFont="1" applyAlignment="1">
      <alignment horizontal="center" vertical="center"/>
    </xf>
    <xf numFmtId="188" fontId="5" fillId="0" borderId="0" xfId="1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96" fontId="4" fillId="0" borderId="0" xfId="0" applyNumberFormat="1" applyFont="1" applyBorder="1" applyAlignment="1">
      <alignment horizontal="center" vertical="center"/>
    </xf>
    <xf numFmtId="187" fontId="4" fillId="0" borderId="0" xfId="0" applyNumberFormat="1" applyFont="1" applyAlignment="1">
      <alignment vertical="center"/>
    </xf>
  </cellXfs>
  <cellStyles count="11">
    <cellStyle name="Comma 2" xfId="9"/>
    <cellStyle name="Comma 2 2 2" xfId="10"/>
    <cellStyle name="Percent 2" xfId="5"/>
    <cellStyle name="เครื่องหมายจุลภาค" xfId="1" builtinId="3"/>
    <cellStyle name="เครื่องหมายจุลภาค 2" xfId="4"/>
    <cellStyle name="เครื่องหมายจุลภาค_Sheet1" xfId="8"/>
    <cellStyle name="เครื่องหมายจุลภาค_แบบ  ปร. 5" xfId="2"/>
    <cellStyle name="ปกติ" xfId="0" builtinId="0"/>
    <cellStyle name="ปกติ_Sheet1" xfId="7"/>
    <cellStyle name="ปกติ_แบบ  ปร. 5" xfId="3"/>
    <cellStyle name="เปอร์เซ็นต์" xfId="6" builtinId="5"/>
  </cellStyles>
  <dxfs count="13"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  <dxf>
      <numFmt numFmtId="202" formatCode="\ 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DAFEE9"/>
      <color rgb="FFFFFFE5"/>
      <color rgb="FF0000FF"/>
      <color rgb="FF006600"/>
      <color rgb="FF0033CC"/>
      <color rgb="FF000099"/>
      <color rgb="FF0099FF"/>
      <color rgb="FFD6ECF2"/>
      <color rgb="FFBAF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62-4-030&#3619;&#3632;&#3610;&#3610;&#3611;&#3619;&#3632;&#3611;&#3634;&#3649;&#3621;&#3632;&#3626;&#3640;&#3586;&#3634;&#3616;&#3636;&#3610;&#3634;&#3621;&#3616;&#3634;&#3618;&#3609;&#3629;&#3585;&#3629;&#3634;&#3588;&#3634;&#3619;&#3614;&#3633;&#3585;&#3609;&#3634;&#3618;&#3607;&#3627;&#3634;&#3619;&#3611;&#3619;&#3632;&#3607;&#3623;&#3609;&#3650;&#3626;&#3604;%20(NCOQ)%20&#3614;&#3619;&#3657;&#3629;&#3617;&#3626;&#3636;&#3656;&#3591;&#3629;&#3635;&#3609;&#3623;&#3618;&#3588;&#3623;&#3634;&#3617;&#3626;&#3632;&#3604;&#3629;&#3585;&#3586;&#3629;&#3591;%20&#3626;&#362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 ปร.6"/>
      <sheetName val="ใบสรุปแบบ ปร.5 (ก) "/>
      <sheetName val="ใบสรุปแบบ ปร.5 (ข)"/>
      <sheetName val="แบบ ปร.4_ประปา"/>
      <sheetName val="แบบ ปร.4_ปป_ภายนอก"/>
      <sheetName val="แบบ ปร.4_ครุภัณฑ์"/>
      <sheetName val="แบบ ปร.4(พ)"/>
      <sheetName val="แบบแสดงการคำนวณ ฯ(พ)ตามข้อกำหนด"/>
      <sheetName val="F_Advance(งานอาคาร)"/>
      <sheetName val="F_Advance(สะพาน)"/>
      <sheetName val="งวดงา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FF0000"/>
  </sheetPr>
  <dimension ref="A1:G45"/>
  <sheetViews>
    <sheetView showGridLines="0" view="pageBreakPreview" topLeftCell="A22" zoomScaleNormal="175" zoomScaleSheetLayoutView="100" workbookViewId="0">
      <selection activeCell="C36" sqref="C36"/>
    </sheetView>
  </sheetViews>
  <sheetFormatPr defaultColWidth="9.140625" defaultRowHeight="18"/>
  <cols>
    <col min="1" max="1" width="14" style="1" customWidth="1"/>
    <col min="2" max="2" width="55.140625" style="1" customWidth="1"/>
    <col min="3" max="3" width="17.5703125" style="2" customWidth="1"/>
    <col min="4" max="4" width="17.7109375" style="2" customWidth="1"/>
    <col min="5" max="5" width="15.42578125" style="1" customWidth="1"/>
    <col min="6" max="6" width="13.140625" style="1" bestFit="1" customWidth="1"/>
    <col min="7" max="7" width="11.5703125" style="1" bestFit="1" customWidth="1"/>
    <col min="8" max="16384" width="9.140625" style="1"/>
  </cols>
  <sheetData>
    <row r="1" spans="1:7" s="342" customFormat="1">
      <c r="A1" s="629" t="s">
        <v>173</v>
      </c>
      <c r="B1" s="629"/>
      <c r="C1" s="629"/>
      <c r="D1" s="629"/>
    </row>
    <row r="2" spans="1:7">
      <c r="A2" s="31" t="s">
        <v>94</v>
      </c>
      <c r="B2" s="31" t="s">
        <v>667</v>
      </c>
      <c r="C2" s="369"/>
      <c r="D2" s="369"/>
    </row>
    <row r="3" spans="1:7">
      <c r="A3" s="31" t="s">
        <v>91</v>
      </c>
      <c r="B3" s="31" t="s">
        <v>251</v>
      </c>
      <c r="C3" s="369"/>
      <c r="D3" s="381"/>
    </row>
    <row r="4" spans="1:7">
      <c r="A4" s="31" t="s">
        <v>83</v>
      </c>
      <c r="B4" s="31" t="s">
        <v>668</v>
      </c>
      <c r="C4" s="369"/>
      <c r="D4" s="381"/>
    </row>
    <row r="5" spans="1:7">
      <c r="A5" s="31" t="s">
        <v>670</v>
      </c>
      <c r="B5" s="31"/>
      <c r="C5" s="382" t="s">
        <v>669</v>
      </c>
      <c r="D5" s="369"/>
    </row>
    <row r="6" spans="1:7">
      <c r="A6" s="31" t="s">
        <v>95</v>
      </c>
      <c r="B6" s="383"/>
      <c r="C6" s="380">
        <v>40</v>
      </c>
      <c r="D6" s="1"/>
    </row>
    <row r="7" spans="1:7">
      <c r="A7" s="31"/>
      <c r="B7" s="31"/>
      <c r="C7" s="369"/>
      <c r="D7" s="369"/>
    </row>
    <row r="8" spans="1:7" ht="18.75" thickBot="1">
      <c r="A8" s="374"/>
      <c r="B8" s="374"/>
      <c r="C8" s="375"/>
      <c r="D8" s="375"/>
    </row>
    <row r="9" spans="1:7" ht="21" customHeight="1" thickTop="1">
      <c r="A9" s="343" t="s">
        <v>0</v>
      </c>
      <c r="B9" s="344" t="s">
        <v>1</v>
      </c>
      <c r="C9" s="384" t="s">
        <v>301</v>
      </c>
      <c r="D9" s="345" t="s">
        <v>8</v>
      </c>
    </row>
    <row r="10" spans="1:7" ht="17.25" customHeight="1" thickBot="1">
      <c r="A10" s="346"/>
      <c r="B10" s="347"/>
      <c r="C10" s="348" t="s">
        <v>92</v>
      </c>
      <c r="D10" s="346"/>
    </row>
    <row r="11" spans="1:7" ht="21" customHeight="1" thickTop="1">
      <c r="A11" s="376">
        <v>1</v>
      </c>
      <c r="B11" s="377" t="s">
        <v>655</v>
      </c>
      <c r="C11" s="390">
        <f>+'ใบสรุปแบบ ปร.5 (ก) '!H24</f>
        <v>34162013.529084004</v>
      </c>
      <c r="D11" s="349"/>
    </row>
    <row r="12" spans="1:7" ht="21" customHeight="1">
      <c r="A12" s="351">
        <v>2</v>
      </c>
      <c r="B12" s="352" t="s">
        <v>656</v>
      </c>
      <c r="C12" s="389">
        <f>+'ใบสรุปแบบ ปร.5 (ข)'!H23</f>
        <v>838175.94000000006</v>
      </c>
      <c r="D12" s="350"/>
    </row>
    <row r="13" spans="1:7" ht="21" customHeight="1">
      <c r="A13" s="351"/>
      <c r="B13" s="352"/>
      <c r="C13" s="389"/>
      <c r="D13" s="350"/>
      <c r="G13" s="1" t="s">
        <v>174</v>
      </c>
    </row>
    <row r="14" spans="1:7" ht="21" customHeight="1">
      <c r="A14" s="351"/>
      <c r="B14" s="352"/>
      <c r="C14" s="389"/>
      <c r="D14" s="350"/>
    </row>
    <row r="15" spans="1:7" ht="21" customHeight="1">
      <c r="A15" s="351"/>
      <c r="B15" s="352"/>
      <c r="C15" s="389"/>
      <c r="D15" s="350"/>
    </row>
    <row r="16" spans="1:7" ht="21" customHeight="1">
      <c r="A16" s="351"/>
      <c r="B16" s="352"/>
      <c r="C16" s="389"/>
      <c r="D16" s="350"/>
    </row>
    <row r="17" spans="1:7" ht="21" customHeight="1">
      <c r="A17" s="351"/>
      <c r="B17" s="352"/>
      <c r="C17" s="389"/>
      <c r="D17" s="350"/>
    </row>
    <row r="18" spans="1:7" ht="21" customHeight="1">
      <c r="A18" s="351"/>
      <c r="B18" s="352"/>
      <c r="C18" s="389"/>
      <c r="D18" s="350"/>
    </row>
    <row r="19" spans="1:7" ht="21" customHeight="1">
      <c r="A19" s="351"/>
      <c r="B19" s="352"/>
      <c r="C19" s="389"/>
      <c r="D19" s="350"/>
    </row>
    <row r="20" spans="1:7" ht="21" customHeight="1">
      <c r="A20" s="351"/>
      <c r="B20" s="352"/>
      <c r="C20" s="389"/>
      <c r="D20" s="350"/>
    </row>
    <row r="21" spans="1:7" ht="21" customHeight="1">
      <c r="A21" s="351"/>
      <c r="B21" s="352"/>
      <c r="C21" s="389"/>
      <c r="D21" s="350"/>
    </row>
    <row r="22" spans="1:7" ht="19.5" customHeight="1">
      <c r="A22" s="351"/>
      <c r="B22" s="352"/>
      <c r="C22" s="388"/>
      <c r="D22" s="353"/>
    </row>
    <row r="23" spans="1:7">
      <c r="A23" s="354"/>
      <c r="B23" s="355"/>
      <c r="C23" s="391" t="s">
        <v>9</v>
      </c>
      <c r="D23" s="356"/>
      <c r="E23" s="1" t="s">
        <v>9</v>
      </c>
    </row>
    <row r="24" spans="1:7" ht="21" customHeight="1">
      <c r="A24" s="357"/>
      <c r="B24" s="359" t="s">
        <v>300</v>
      </c>
      <c r="C24" s="392">
        <f>SUM(C11:C23)</f>
        <v>35000189.469084002</v>
      </c>
      <c r="D24" s="358"/>
    </row>
    <row r="25" spans="1:7" ht="21" customHeight="1">
      <c r="A25" s="357"/>
      <c r="B25" s="359" t="s">
        <v>20</v>
      </c>
      <c r="C25" s="385">
        <v>35000000</v>
      </c>
      <c r="D25" s="360"/>
      <c r="E25" s="386">
        <f>+C25-C24</f>
        <v>-189.46908400207758</v>
      </c>
      <c r="F25" s="386">
        <f>+E25/'ใบสรุปแบบ ปร.5 (ก) '!G17</f>
        <v>-156.2760508100277</v>
      </c>
      <c r="G25" s="386">
        <f>+F25/2</f>
        <v>-78.138025405013849</v>
      </c>
    </row>
    <row r="26" spans="1:7" ht="24.75" customHeight="1">
      <c r="A26" s="361"/>
      <c r="B26" s="359" t="str">
        <f xml:space="preserve"> "ราคา ( "&amp;BAHTTEXT(C25)&amp;" )"</f>
        <v>ราคา ( สามสิบห้าล้านบาทถ้วน )</v>
      </c>
      <c r="C26" s="362"/>
      <c r="D26" s="363"/>
      <c r="F26" s="387"/>
    </row>
    <row r="27" spans="1:7" ht="10.9" customHeight="1">
      <c r="B27" s="2"/>
    </row>
    <row r="28" spans="1:7" ht="20.25" customHeight="1">
      <c r="B28" s="404" t="s">
        <v>696</v>
      </c>
      <c r="C28" s="364"/>
      <c r="D28" s="365"/>
    </row>
    <row r="29" spans="1:7" ht="20.25" customHeight="1">
      <c r="A29" s="405" t="s">
        <v>697</v>
      </c>
      <c r="B29" s="3" t="s">
        <v>704</v>
      </c>
      <c r="C29" s="288" t="s">
        <v>701</v>
      </c>
      <c r="D29" s="366"/>
    </row>
    <row r="30" spans="1:7" ht="20.25" customHeight="1">
      <c r="A30" s="405"/>
      <c r="B30" s="3" t="s">
        <v>9</v>
      </c>
      <c r="C30" s="288"/>
      <c r="D30" s="366"/>
    </row>
    <row r="31" spans="1:7" ht="20.25" customHeight="1">
      <c r="A31" s="405" t="s">
        <v>698</v>
      </c>
      <c r="B31" s="3" t="s">
        <v>705</v>
      </c>
      <c r="C31" s="288" t="s">
        <v>702</v>
      </c>
      <c r="D31" s="373"/>
    </row>
    <row r="32" spans="1:7" ht="20.25" customHeight="1">
      <c r="A32" s="405"/>
      <c r="B32" s="3" t="s">
        <v>9</v>
      </c>
      <c r="C32" s="288"/>
      <c r="D32" s="365"/>
    </row>
    <row r="33" spans="1:5" ht="20.25" customHeight="1">
      <c r="A33" s="405" t="s">
        <v>698</v>
      </c>
      <c r="B33" s="3" t="s">
        <v>706</v>
      </c>
      <c r="C33" s="288" t="s">
        <v>703</v>
      </c>
      <c r="D33" s="373"/>
    </row>
    <row r="34" spans="1:5" ht="20.25" customHeight="1">
      <c r="A34" s="405"/>
      <c r="B34" s="3" t="s">
        <v>9</v>
      </c>
      <c r="C34" s="288"/>
      <c r="D34" s="365"/>
    </row>
    <row r="35" spans="1:5" ht="20.25" customHeight="1">
      <c r="A35" s="405" t="s">
        <v>699</v>
      </c>
      <c r="B35" s="367" t="s">
        <v>707</v>
      </c>
      <c r="C35" s="288" t="s">
        <v>702</v>
      </c>
      <c r="D35" s="373"/>
    </row>
    <row r="36" spans="1:5" ht="20.25" customHeight="1">
      <c r="A36" s="405"/>
      <c r="B36" s="367" t="s">
        <v>9</v>
      </c>
      <c r="C36" s="288"/>
      <c r="D36" s="1"/>
    </row>
    <row r="37" spans="1:5" ht="20.25" customHeight="1">
      <c r="A37" s="405" t="s">
        <v>700</v>
      </c>
      <c r="B37" s="3" t="s">
        <v>708</v>
      </c>
      <c r="C37" s="288" t="s">
        <v>702</v>
      </c>
      <c r="D37" s="373"/>
    </row>
    <row r="38" spans="1:5" ht="20.25" customHeight="1">
      <c r="B38" s="3" t="s">
        <v>9</v>
      </c>
      <c r="C38" s="288"/>
      <c r="D38" s="4"/>
    </row>
    <row r="39" spans="1:5" ht="20.25" customHeight="1">
      <c r="C39" s="368"/>
      <c r="D39" s="373"/>
      <c r="E39" s="4"/>
    </row>
    <row r="40" spans="1:5" ht="20.25" customHeight="1">
      <c r="C40" s="4"/>
      <c r="D40" s="365"/>
    </row>
    <row r="41" spans="1:5" ht="20.25" customHeight="1">
      <c r="C41" s="4"/>
      <c r="D41" s="365"/>
    </row>
    <row r="42" spans="1:5" ht="20.25" customHeight="1">
      <c r="C42" s="4"/>
      <c r="D42" s="365"/>
    </row>
    <row r="43" spans="1:5" ht="20.25" customHeight="1">
      <c r="C43" s="4"/>
      <c r="D43" s="4"/>
    </row>
    <row r="45" spans="1:5">
      <c r="D45" s="1"/>
    </row>
  </sheetData>
  <dataConsolidate/>
  <mergeCells count="1">
    <mergeCell ref="A1:D1"/>
  </mergeCells>
  <phoneticPr fontId="3" type="noConversion"/>
  <dataValidations disablePrompts="1" count="3">
    <dataValidation type="list" allowBlank="1" showInputMessage="1" showErrorMessage="1" sqref="C9">
      <formula1>"ค่าก่อสร้าง,ค่าซ่อมแซม,ค่าปรับปรุง,ค่าใช้จ่าย,ค่าจัดซื้อ"</formula1>
    </dataValidation>
    <dataValidation type="list" allowBlank="1" showInputMessage="1" showErrorMessage="1" sqref="A1:D1">
      <formula1>"แบบสรุปราคากลาง งานก่อสร้าง,แบบสรุปราคากลาง งานซ่อมแซม,แบบสรุปราคากลาง งานปรับปรุง,แบบสรุปราคากลาง งานอื่นๆ,แบบสรุปราคากลาง งานจัดซื้อ,แบบสรุปราคากลาง งานก่อสร้างเบื้องต้น,แบบสรุปราคากลาง งานซ่อมแซมเบื้องต้น,แบบสรุปราคากลาง งานปรับปรุง เบื้องต้น"</formula1>
    </dataValidation>
    <dataValidation type="list" allowBlank="1" showInputMessage="1" showErrorMessage="1" sqref="B24">
      <formula1>"รวมค่าก่อสร้างทั้งโครงการ,รวมค่าซ่อมแซมทั้งโครงการ,รวมค่าปรับปรุงทั้งโครงการ,รวมค่าใช้จ่ายทั้งโครงการ,รวมค่าจัดซื้อทั้งโครงการ"</formula1>
    </dataValidation>
  </dataValidations>
  <printOptions horizontalCentered="1" verticalCentered="1"/>
  <pageMargins left="0.51181102362204722" right="0.11811023622047245" top="0.71" bottom="0.34" header="0.39370078740157483" footer="0.31496062992125984"/>
  <pageSetup paperSize="9" orientation="portrait" verticalDpi="300" r:id="rId1"/>
  <headerFooter alignWithMargins="0">
    <oddHeader>&amp;R&amp;"TH SarabunPSK,Regular"&amp;16แบบ ปร.6  แผ่นที่  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DH40"/>
  <sheetViews>
    <sheetView showGridLines="0" view="pageBreakPreview" topLeftCell="A10" zoomScaleNormal="100" zoomScaleSheetLayoutView="100" workbookViewId="0">
      <selection activeCell="K12" sqref="K12"/>
    </sheetView>
  </sheetViews>
  <sheetFormatPr defaultColWidth="9.140625" defaultRowHeight="18.75"/>
  <cols>
    <col min="1" max="2" width="11.42578125" style="7" customWidth="1"/>
    <col min="3" max="3" width="12.5703125" style="7" customWidth="1"/>
    <col min="4" max="4" width="11.42578125" style="7" customWidth="1"/>
    <col min="5" max="5" width="8.28515625" style="7" customWidth="1"/>
    <col min="6" max="6" width="14.28515625" style="13" customWidth="1"/>
    <col min="7" max="7" width="9.28515625" style="13" customWidth="1"/>
    <col min="8" max="8" width="15.140625" style="7" customWidth="1"/>
    <col min="9" max="9" width="8.5703125" style="7" customWidth="1"/>
    <col min="10" max="10" width="13.5703125" style="7" bestFit="1" customWidth="1"/>
    <col min="11" max="11" width="15.42578125" style="7" customWidth="1"/>
    <col min="12" max="12" width="13" style="7" customWidth="1"/>
    <col min="13" max="13" width="4.28515625" style="7" customWidth="1"/>
    <col min="14" max="14" width="15.5703125" style="7" customWidth="1"/>
    <col min="15" max="15" width="12.7109375" style="7" customWidth="1"/>
    <col min="16" max="16" width="4.42578125" style="7" customWidth="1"/>
    <col min="17" max="17" width="12.5703125" style="7" customWidth="1"/>
    <col min="18" max="20" width="8.85546875" style="13" customWidth="1"/>
    <col min="21" max="21" width="2.85546875" style="13" customWidth="1"/>
    <col min="22" max="24" width="8.85546875" style="13" customWidth="1"/>
    <col min="25" max="25" width="3" style="13" customWidth="1"/>
    <col min="26" max="26" width="10.42578125" style="13" customWidth="1"/>
    <col min="27" max="28" width="8.85546875" style="13" customWidth="1"/>
    <col min="29" max="112" width="9.140625" style="7"/>
    <col min="113" max="16384" width="9.140625" style="6"/>
  </cols>
  <sheetData>
    <row r="1" spans="1:112">
      <c r="A1" s="684" t="str">
        <f>+'แบบ ปร.6'!A1</f>
        <v>แบบสรุปราคากลาง งานก่อสร้าง</v>
      </c>
      <c r="B1" s="684"/>
      <c r="C1" s="684"/>
      <c r="D1" s="684"/>
      <c r="E1" s="684"/>
      <c r="F1" s="684"/>
      <c r="G1" s="684"/>
      <c r="H1" s="684"/>
      <c r="I1" s="684"/>
      <c r="J1" s="20"/>
      <c r="K1" s="20"/>
      <c r="L1" s="20"/>
      <c r="M1" s="6"/>
      <c r="N1" s="6"/>
      <c r="O1" s="6"/>
      <c r="P1" s="6"/>
      <c r="Q1" s="6"/>
      <c r="R1" s="407"/>
      <c r="S1" s="407"/>
      <c r="T1" s="407"/>
      <c r="U1" s="407"/>
      <c r="V1" s="407"/>
      <c r="W1" s="407"/>
      <c r="X1" s="407"/>
      <c r="Y1" s="407"/>
      <c r="Z1" s="407"/>
      <c r="AA1" s="407"/>
      <c r="AB1" s="407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</row>
    <row r="2" spans="1:112">
      <c r="A2" s="103" t="s">
        <v>90</v>
      </c>
      <c r="B2" s="685" t="s">
        <v>85</v>
      </c>
      <c r="C2" s="103"/>
      <c r="D2" s="103"/>
      <c r="E2" s="103"/>
      <c r="F2" s="19"/>
      <c r="G2" s="104"/>
      <c r="H2" s="103"/>
      <c r="I2" s="103"/>
      <c r="J2" s="16"/>
      <c r="K2" s="16"/>
      <c r="L2" s="16"/>
    </row>
    <row r="3" spans="1:112">
      <c r="A3" s="105" t="s">
        <v>87</v>
      </c>
      <c r="B3" s="105" t="str">
        <f>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C3" s="105"/>
      <c r="D3" s="105"/>
      <c r="E3" s="105"/>
      <c r="F3" s="62"/>
      <c r="G3" s="62"/>
      <c r="H3" s="62"/>
      <c r="I3" s="62"/>
      <c r="N3" s="6"/>
    </row>
    <row r="4" spans="1:112">
      <c r="A4" s="105" t="s">
        <v>91</v>
      </c>
      <c r="B4" s="105" t="str">
        <f>+'แบบ ปร.6'!B3</f>
        <v>จ.ชลบุรี</v>
      </c>
      <c r="C4" s="105"/>
      <c r="D4" s="62" t="s">
        <v>14</v>
      </c>
      <c r="E4" s="62" t="str">
        <f>+'แบบ ปร.6'!B4</f>
        <v>62-2-101,63-5-006,62-4-030</v>
      </c>
      <c r="F4" s="62"/>
      <c r="H4" s="105"/>
      <c r="I4" s="105"/>
    </row>
    <row r="5" spans="1:112">
      <c r="A5" s="105" t="s">
        <v>82</v>
      </c>
      <c r="B5" s="105"/>
      <c r="C5" s="105"/>
      <c r="D5" s="105" t="str">
        <f>+'แบบ ปร.6'!C5</f>
        <v>สอ.รฝ.</v>
      </c>
      <c r="E5" s="105"/>
      <c r="F5" s="105" t="s">
        <v>93</v>
      </c>
      <c r="G5" s="106"/>
      <c r="H5" s="686">
        <v>37</v>
      </c>
      <c r="I5" s="105"/>
      <c r="AM5" s="6"/>
    </row>
    <row r="6" spans="1:112" ht="19.5" thickBot="1">
      <c r="A6" s="105"/>
      <c r="B6" s="105"/>
      <c r="C6" s="105"/>
      <c r="D6" s="105"/>
      <c r="E6" s="105"/>
      <c r="F6" s="105"/>
      <c r="G6" s="106"/>
      <c r="H6" s="105"/>
      <c r="I6" s="105"/>
    </row>
    <row r="7" spans="1:112" ht="19.5" thickTop="1">
      <c r="A7" s="101" t="s">
        <v>0</v>
      </c>
      <c r="B7" s="640" t="s">
        <v>1</v>
      </c>
      <c r="C7" s="641"/>
      <c r="D7" s="641"/>
      <c r="E7" s="642"/>
      <c r="F7" s="96" t="s">
        <v>11</v>
      </c>
      <c r="G7" s="101" t="s">
        <v>7</v>
      </c>
      <c r="H7" s="687" t="str">
        <f>+'แบบ ปร.6'!C9</f>
        <v>ค่าก่อสร้าง</v>
      </c>
      <c r="I7" s="101" t="s">
        <v>8</v>
      </c>
      <c r="J7" s="16"/>
      <c r="K7" s="688" t="s">
        <v>169</v>
      </c>
      <c r="L7" s="689"/>
      <c r="M7" s="690" t="s">
        <v>170</v>
      </c>
      <c r="N7" s="689"/>
      <c r="O7" s="689"/>
      <c r="P7" s="689"/>
      <c r="Q7" s="689"/>
      <c r="R7" s="689"/>
      <c r="S7" s="689"/>
      <c r="T7" s="689"/>
      <c r="U7" s="689"/>
      <c r="V7" s="691"/>
    </row>
    <row r="8" spans="1:112" ht="19.5" thickBot="1">
      <c r="A8" s="102"/>
      <c r="B8" s="109"/>
      <c r="C8" s="110"/>
      <c r="D8" s="110"/>
      <c r="E8" s="108"/>
      <c r="F8" s="97" t="s">
        <v>92</v>
      </c>
      <c r="G8" s="97"/>
      <c r="H8" s="97" t="s">
        <v>92</v>
      </c>
      <c r="I8" s="102"/>
      <c r="J8" s="16"/>
      <c r="K8" s="692" t="s">
        <v>171</v>
      </c>
      <c r="L8" s="693"/>
      <c r="M8" s="694" t="s">
        <v>172</v>
      </c>
      <c r="N8" s="693"/>
      <c r="O8" s="693"/>
      <c r="P8" s="693"/>
      <c r="Q8" s="693"/>
      <c r="R8" s="693"/>
      <c r="S8" s="693"/>
      <c r="T8" s="693"/>
      <c r="U8" s="693"/>
      <c r="V8" s="695"/>
    </row>
    <row r="9" spans="1:112" ht="19.5" thickTop="1">
      <c r="A9" s="23">
        <v>1</v>
      </c>
      <c r="B9" s="119" t="s">
        <v>299</v>
      </c>
      <c r="C9" s="116"/>
      <c r="D9" s="114"/>
      <c r="E9" s="111"/>
      <c r="F9" s="393">
        <f>+'แบบ ปร.4_อาคาร'!I177</f>
        <v>19268404.560000002</v>
      </c>
      <c r="G9" s="696"/>
      <c r="H9" s="24"/>
      <c r="I9" s="24" t="s">
        <v>9</v>
      </c>
    </row>
    <row r="10" spans="1:112">
      <c r="A10" s="23">
        <v>2</v>
      </c>
      <c r="B10" s="117" t="s">
        <v>387</v>
      </c>
      <c r="C10" s="114"/>
      <c r="D10" s="114"/>
      <c r="E10" s="111"/>
      <c r="F10" s="393">
        <f>+ไฟฟ้าใน!I128</f>
        <v>2708778</v>
      </c>
      <c r="G10" s="696"/>
      <c r="H10" s="24"/>
      <c r="I10" s="24"/>
      <c r="J10" s="7">
        <f>+F9/1440</f>
        <v>13380.836500000001</v>
      </c>
      <c r="K10" s="7">
        <f>+J10/2</f>
        <v>6690.4182500000006</v>
      </c>
    </row>
    <row r="11" spans="1:112">
      <c r="A11" s="23"/>
      <c r="B11" s="117" t="s">
        <v>653</v>
      </c>
      <c r="C11" s="114"/>
      <c r="D11" s="114"/>
      <c r="E11" s="111"/>
      <c r="F11" s="393"/>
      <c r="G11" s="696"/>
      <c r="H11" s="24"/>
      <c r="I11" s="24"/>
    </row>
    <row r="12" spans="1:112">
      <c r="A12" s="23">
        <v>3</v>
      </c>
      <c r="B12" s="117" t="s">
        <v>654</v>
      </c>
      <c r="C12" s="114"/>
      <c r="D12" s="114"/>
      <c r="E12" s="111"/>
      <c r="F12" s="393">
        <f>+ประปาใน!I253</f>
        <v>2028418</v>
      </c>
      <c r="G12" s="696"/>
      <c r="H12" s="24"/>
      <c r="I12" s="24"/>
      <c r="J12" s="777">
        <f>SUM(F13:F16)</f>
        <v>4171579.85</v>
      </c>
      <c r="K12" s="777">
        <f>J12/2</f>
        <v>2085789.925</v>
      </c>
    </row>
    <row r="13" spans="1:112">
      <c r="A13" s="23">
        <v>4</v>
      </c>
      <c r="B13" s="117" t="s">
        <v>241</v>
      </c>
      <c r="C13" s="114"/>
      <c r="D13" s="114"/>
      <c r="E13" s="111"/>
      <c r="F13" s="393">
        <f>+งานภูมิทัศน์!I24</f>
        <v>1552990</v>
      </c>
      <c r="G13" s="696"/>
      <c r="H13" s="24"/>
      <c r="I13" s="24"/>
    </row>
    <row r="14" spans="1:112">
      <c r="A14" s="23">
        <v>5</v>
      </c>
      <c r="B14" s="117" t="s">
        <v>638</v>
      </c>
      <c r="C14" s="114"/>
      <c r="D14" s="114"/>
      <c r="E14" s="111"/>
      <c r="F14" s="393">
        <f>+ไฟฟ้านอก!K70</f>
        <v>1239503</v>
      </c>
      <c r="G14" s="696"/>
      <c r="H14" s="24"/>
      <c r="I14" s="24"/>
    </row>
    <row r="15" spans="1:112">
      <c r="A15" s="23">
        <v>6</v>
      </c>
      <c r="B15" s="117" t="s">
        <v>639</v>
      </c>
      <c r="C15" s="114"/>
      <c r="D15" s="114"/>
      <c r="E15" s="111"/>
      <c r="F15" s="393">
        <f>+ประปานอก!K102</f>
        <v>1379086.85</v>
      </c>
      <c r="G15" s="696"/>
      <c r="H15" s="24"/>
      <c r="I15" s="24"/>
      <c r="J15" s="697">
        <f>SUM(F9:F12)</f>
        <v>24005600.560000002</v>
      </c>
      <c r="K15" s="7">
        <f>+J15/1440</f>
        <v>16670.555944444444</v>
      </c>
      <c r="L15" s="7">
        <f>+K15/2</f>
        <v>8335.2779722222222</v>
      </c>
    </row>
    <row r="16" spans="1:112">
      <c r="A16" s="23"/>
      <c r="B16" s="117"/>
      <c r="C16" s="114"/>
      <c r="D16" s="114"/>
      <c r="E16" s="111"/>
      <c r="F16" s="698"/>
      <c r="G16" s="696"/>
      <c r="H16" s="24"/>
      <c r="I16" s="24"/>
      <c r="K16" s="699"/>
      <c r="L16" s="699"/>
    </row>
    <row r="17" spans="1:112">
      <c r="A17" s="25"/>
      <c r="B17" s="117" t="s">
        <v>23</v>
      </c>
      <c r="C17" s="115"/>
      <c r="D17" s="115"/>
      <c r="E17" s="700"/>
      <c r="F17" s="394">
        <f>SUM(F9:F16)</f>
        <v>28177180.410000004</v>
      </c>
      <c r="G17" s="701">
        <f>+O22</f>
        <v>1.2123999999999999</v>
      </c>
      <c r="H17" s="394">
        <f>F17*G17</f>
        <v>34162013.529084004</v>
      </c>
      <c r="I17" s="24"/>
      <c r="J17" s="702">
        <f>+H17-F17</f>
        <v>5984833.1190840006</v>
      </c>
      <c r="K17" s="703"/>
      <c r="L17" s="699"/>
    </row>
    <row r="18" spans="1:112" ht="16.5" customHeight="1" thickBot="1">
      <c r="A18" s="25"/>
      <c r="B18" s="704"/>
      <c r="C18" s="705"/>
      <c r="D18" s="705"/>
      <c r="E18" s="706"/>
      <c r="F18" s="707"/>
      <c r="G18" s="708"/>
      <c r="H18" s="709"/>
      <c r="I18" s="26"/>
      <c r="K18" s="699"/>
      <c r="L18" s="699"/>
      <c r="Q18" s="7" t="s">
        <v>165</v>
      </c>
      <c r="S18" s="13">
        <f>+IF(K19="งานอาคาร",1,0)</f>
        <v>1</v>
      </c>
      <c r="V18" s="710" t="s">
        <v>167</v>
      </c>
      <c r="X18" s="13">
        <f>+IF(K19="งานสะพานและท่อเหลี่ยม",1,0)</f>
        <v>0</v>
      </c>
      <c r="Z18" s="13" t="s">
        <v>166</v>
      </c>
      <c r="AA18" s="13">
        <f>+G8</f>
        <v>0</v>
      </c>
      <c r="AB18" s="13">
        <f>+IF(K19="งานทาง",1,0)</f>
        <v>0</v>
      </c>
    </row>
    <row r="19" spans="1:112">
      <c r="A19" s="711"/>
      <c r="B19" s="712" t="s">
        <v>12</v>
      </c>
      <c r="C19" s="713"/>
      <c r="D19" s="713"/>
      <c r="E19" s="714"/>
      <c r="F19" s="715"/>
      <c r="G19" s="716"/>
      <c r="H19" s="717"/>
      <c r="I19" s="718"/>
      <c r="K19" s="719" t="str">
        <f>+B2</f>
        <v>งานอาคาร</v>
      </c>
      <c r="L19" s="720"/>
      <c r="M19" s="721"/>
      <c r="N19" s="722" t="s">
        <v>115</v>
      </c>
      <c r="O19" s="723" t="s">
        <v>116</v>
      </c>
      <c r="P19" s="721"/>
      <c r="Q19" s="724"/>
      <c r="R19" s="725" t="s">
        <v>112</v>
      </c>
      <c r="S19" s="726"/>
      <c r="T19" s="727"/>
      <c r="U19" s="728"/>
      <c r="V19" s="725" t="s">
        <v>112</v>
      </c>
      <c r="W19" s="726"/>
      <c r="X19" s="727"/>
      <c r="Y19" s="728"/>
      <c r="Z19" s="725" t="s">
        <v>112</v>
      </c>
      <c r="AA19" s="726"/>
      <c r="AB19" s="727"/>
    </row>
    <row r="20" spans="1:112">
      <c r="A20" s="711"/>
      <c r="B20" s="729" t="s">
        <v>24</v>
      </c>
      <c r="C20" s="730"/>
      <c r="D20" s="730"/>
      <c r="E20" s="731"/>
      <c r="F20" s="732">
        <v>0.15</v>
      </c>
      <c r="G20" s="716"/>
      <c r="H20" s="717"/>
      <c r="I20" s="718"/>
      <c r="K20" s="733" t="s">
        <v>111</v>
      </c>
      <c r="L20" s="733" t="s">
        <v>13</v>
      </c>
      <c r="M20" s="721"/>
      <c r="N20" s="734">
        <f>IF(TYPE(K21)=2,0,F17-K21*1000000)</f>
        <v>3177180.4100000039</v>
      </c>
      <c r="O20" s="735">
        <f>IF(TYPE(K22)=2,L21,L21-L22)</f>
        <v>8.799999999999919E-3</v>
      </c>
      <c r="P20" s="721"/>
      <c r="Q20" s="736" t="s">
        <v>111</v>
      </c>
      <c r="R20" s="737">
        <v>0</v>
      </c>
      <c r="S20" s="737">
        <v>0.05</v>
      </c>
      <c r="T20" s="737">
        <v>0.1</v>
      </c>
      <c r="U20" s="738"/>
      <c r="V20" s="737">
        <v>0</v>
      </c>
      <c r="W20" s="737">
        <v>0.05</v>
      </c>
      <c r="X20" s="737">
        <v>0.1</v>
      </c>
      <c r="Y20" s="738"/>
      <c r="Z20" s="737">
        <v>0</v>
      </c>
      <c r="AA20" s="737">
        <v>0.05</v>
      </c>
      <c r="AB20" s="737">
        <v>0.1</v>
      </c>
    </row>
    <row r="21" spans="1:112">
      <c r="A21" s="711"/>
      <c r="B21" s="739" t="s">
        <v>15</v>
      </c>
      <c r="C21" s="740"/>
      <c r="D21" s="740"/>
      <c r="E21" s="741"/>
      <c r="F21" s="732">
        <v>0</v>
      </c>
      <c r="G21" s="716"/>
      <c r="H21" s="742"/>
      <c r="I21" s="743"/>
      <c r="J21" s="744"/>
      <c r="K21" s="745">
        <v>25</v>
      </c>
      <c r="L21" s="746">
        <f>IF(K19="งานอาคาร",HLOOKUP(F21,R20:T22,2),IF(K19="งานสะพานและท่อเหลี่ยม",HLOOKUP(F21,V20:X22,2),HLOOKUP(F21,Z20:AB22,2)))</f>
        <v>1.218</v>
      </c>
      <c r="M21" s="721"/>
      <c r="N21" s="734">
        <f>IF(TYPE(K21)=2,0,(K22-K21)*1000000)</f>
        <v>5000000</v>
      </c>
      <c r="O21" s="735">
        <f>IF(TYPE(K22)=2,0,O20*N20/N21)</f>
        <v>5.5918375215999556E-3</v>
      </c>
      <c r="P21" s="721"/>
      <c r="Q21" s="736">
        <f>+K21</f>
        <v>25</v>
      </c>
      <c r="R21" s="747">
        <f>(IF(F21=0,IF(F20=0%,VLOOKUP(K21,FBUILD,2),IF(F20=5%,VLOOKUP(K21,FBUILD,3),IF(F20=10%,VLOOKUP(K21,FBUILD,4),IF(F20=15%,VLOOKUP(K21,FBUILD,5),"ERROR"))))))*S18</f>
        <v>1.218</v>
      </c>
      <c r="S21" s="748">
        <f>+IF(F21=5%,IF(F20=0%,VLOOKUP(K21,FBUILD,6),IF(F20=5%,VLOOKUP(K21,FBUILD,7),IF(F20=10%,VLOOKUP(K21,FBUILD,8),IF(F20=15%,VLOOKUP(K21,FBUILD,9),"ERROR")))))*S18</f>
        <v>0</v>
      </c>
      <c r="T21" s="749">
        <f>+IF(F21=10%,IF(F20=0%,VLOOKUP(K21,FBUILD,10),IF(F20=5%,VLOOKUP(K21,FBUILD,11),IF(F20=10%,VLOOKUP(K21,FBUILD,12),IF(F20=15%,VLOOKUP(K21,FBUILD,13),"ERROR")))))*S18</f>
        <v>0</v>
      </c>
      <c r="U21" s="750"/>
      <c r="V21" s="747">
        <f>(IF(F21=0,IF(F20=0%,VLOOKUP(K21,FBRIDGE,2),IF(F20=5%,VLOOKUP(K21,FBRIDGE,3),IF(F20=10%,VLOOKUP(K21,FBRIDGE,4),IF(F20=15%,VLOOKUP(K21,FBRIDGE,5),"ERROR"))))))*X18</f>
        <v>0</v>
      </c>
      <c r="W21" s="748">
        <f>+IF(F21=5%,IF(F20=0%,VLOOKUP(K21,FBRIDGE,6),IF(F20=5%,VLOOKUP(K21,FBRIDGE,7),IF(F20=10%,VLOOKUP(K21,FBRIDGE,8),IF(F20=15%,VLOOKUP(K21,FBRIDGE,9),"ERROR")))))*X18</f>
        <v>0</v>
      </c>
      <c r="X21" s="749">
        <f>+IF(F21=10%,IF(F20=0%,VLOOKUP(K21,FBRIDGE,10),IF(F20=5%,VLOOKUP(K21,FBRIDGE,11),IF(F20=10%,VLOOKUP(K21,FBRIDGE,12),IF(F20=15%,VLOOKUP(K21,FBRIDGE,13),"ERROR")))))*X18</f>
        <v>0</v>
      </c>
      <c r="Y21" s="750"/>
      <c r="Z21" s="747">
        <f>(IF(F21=0,IF(F20=0%,VLOOKUP(K21,FROAD,IF(AA18="ปกติ",2,IF(AA18="ฝนชุก1",3,4))),IF(F20=5%,VLOOKUP(K21,FROAD,IF(AA18="ปกติ",5,IF(AA18="ฝนชุก1",6,7))),IF(F20=10%,VLOOKUP(K21,FROAD,IF(AA18="ปกติ",8,IF(AA18="ฝนชุก1",9,10))),IF(F20=15%,VLOOKUP(K21,FROAD,IF(AA18="ปกติ",11,IF(AA18="ฝนชุก1",12,13))),"ERROR"))))))*AB18</f>
        <v>0</v>
      </c>
      <c r="AA21" s="748">
        <f>+IF(F21=5%,IF(F20=0%,VLOOKUP(K21,FROAD,IF(AA18="ปกติ",14,IF(AA18="ฝนชุก1",15,16))),IF(F20=5%,VLOOKUP(K21,FROAD,IF(AA18="ปกติ",17,IF(AA18="ฝนชุก1",18,19))),IF(F20=10%,VLOOKUP(K21,FROAD,IF(AA18="ปกติ",20,IF(AA18="ฝนชุก1",21,22))),IF(F20=15%,VLOOKUP(K21,FROAD,IF(AA18="ปกติ",23,IF(AA18="ฝนชุก1",24,25))),"ERROR")))))*AB18</f>
        <v>0</v>
      </c>
      <c r="AB21" s="749">
        <f>+IF(F21=10%,IF(F20=0%,VLOOKUP(K21,FROAD,IF(AA18="ปกติ",26,IF(AA18="ฝนชุก1",27,28))),IF(F20=5%,VLOOKUP(K21,FROAD,IF(AA18="ปกติ",29,IF(AA18="ฝนชุก1",30,31))),IF(F20=10%,VLOOKUP(K21,FROAD,IF(AA18="ปกติ",32,IF(AA18="ฝนชุก1",33,34))),IF(F20=15%,VLOOKUP(K21,FROAD,IF(AA18="ปกติ",35,IF(AA18="ฝนชุก1",36,37))),"ERROR")))))*AB18</f>
        <v>0</v>
      </c>
    </row>
    <row r="22" spans="1:112">
      <c r="A22" s="711"/>
      <c r="B22" s="739" t="s">
        <v>16</v>
      </c>
      <c r="C22" s="740"/>
      <c r="D22" s="740"/>
      <c r="E22" s="741"/>
      <c r="F22" s="751">
        <v>0.06</v>
      </c>
      <c r="G22" s="716"/>
      <c r="H22" s="26"/>
      <c r="I22" s="718"/>
      <c r="J22" s="744" t="s">
        <v>10</v>
      </c>
      <c r="K22" s="752">
        <v>30</v>
      </c>
      <c r="L22" s="746">
        <f>IF(K19="งานอาคาร",HLOOKUP(F21,R20:T22,3),IF(K19="งานสะพานและท่อเหลี่ยม",HLOOKUP(F21,V20:X22,3),HLOOKUP(F21,Z20:AB22,3)))</f>
        <v>1.2092000000000001</v>
      </c>
      <c r="M22" s="721"/>
      <c r="N22" s="753" t="s">
        <v>164</v>
      </c>
      <c r="O22" s="754">
        <f>ROUND(L21-O21,4)</f>
        <v>1.2123999999999999</v>
      </c>
      <c r="P22" s="721"/>
      <c r="Q22" s="736">
        <f>+K22</f>
        <v>30</v>
      </c>
      <c r="R22" s="755">
        <f>IF(F21=0,IF(F20=0%,VLOOKUP(K22,FBUILD,2),IF(F20=5%,VLOOKUP(K22,FBUILD,3),IF(F20=10%,VLOOKUP(K22,FBUILD,4),IF(F20=15%,VLOOKUP(K22,FBUILD,5),"ERROR")))))*S18</f>
        <v>1.2092000000000001</v>
      </c>
      <c r="S22" s="756">
        <f>+IF(F21=5%,IF(F20=0%,VLOOKUP(K22,FBUILD,6),IF(F20=5%,VLOOKUP(K22,FBUILD,7),IF(F20=10%,VLOOKUP(K22,FBUILD,8),IF(F20=15%,VLOOKUP(K22,FBUILD,9),"ERROR")))))*S18</f>
        <v>0</v>
      </c>
      <c r="T22" s="757">
        <f>+IF(F21=10%,IF(F20=0%,VLOOKUP(K22,FBUILD,10),IF(F20=5%,VLOOKUP(K22,FBUILD,11),IF(F20=10%,VLOOKUP(K22,FBUILD,12),IF(F20=15%,VLOOKUP(K22,FBUILD,13),"ERROR")))))*S18</f>
        <v>0</v>
      </c>
      <c r="U22" s="728"/>
      <c r="V22" s="755">
        <f>IF(F21=0,IF(F20=0%,VLOOKUP(K22,FBRIDGE,2),IF(F20=5%,VLOOKUP(K22,FBRIDGE,3),IF(F20=10%,VLOOKUP(K22,FBRIDGE,4),IF(F20=15%,VLOOKUP(K22,FBRIDGE,5),"ERROR")))))*X18</f>
        <v>0</v>
      </c>
      <c r="W22" s="756">
        <f>+IF(F21=5%,IF(F20=0%,VLOOKUP(K22,FBRIDGE,6),IF(F20=5%,VLOOKUP(K22,FBRIDGE,7),IF(F20=10%,VLOOKUP(K22,FBRIDGE,8),IF(F20=15%,VLOOKUP(K22,FBRIDGE,9),"ERROR")))))*X18</f>
        <v>0</v>
      </c>
      <c r="X22" s="757">
        <f>+IF(F21=10%,IF(F20=0%,VLOOKUP(K22,FBRIDGE,10),IF(F20=5%,VLOOKUP(K22,FBRIDGE,11),IF(F20=10%,VLOOKUP(K22,FBRIDGE,12),IF(F20=15%,VLOOKUP(K22,FBRIDGE,13),"ERROR")))))*X18</f>
        <v>0</v>
      </c>
      <c r="Y22" s="728"/>
      <c r="Z22" s="755">
        <f>(IF(F21=0,IF(F20=0%,VLOOKUP(K22,FROAD,IF(AA18="ปกติ",2,IF(AA18="ฝนชุก1",3,4))),IF(F20=5%,VLOOKUP(K22,FROAD,IF(AA18="ปกติ",5,IF(AA18="ฝนชุก1",6,7))),IF(F20=10%,VLOOKUP(K22,FROAD,IF(AA18="ปกติ",8,IF(AA18="ฝนชุก1",9,10))),IF(F20=15%,VLOOKUP(K22,FROAD,IF(AA18="ปกติ",11,IF(AA18="ฝนชุก1",12,13))),"ERROR"))))))*AB18</f>
        <v>0</v>
      </c>
      <c r="AA22" s="756">
        <f>+IF(F21=5%,IF(F20=0%,VLOOKUP(K22,FROAD,IF(AA18="ปกติ",14,IF(AA18="ฝนชุก1",15,16))),IF(F20=5%,VLOOKUP(K22,FROAD,IF(AA18="ปกติ",17,IF(AA18="ฝนชุก1",18,19))),IF(F20=10%,VLOOKUP(K22,FROAD,IF(AA18="ปกติ",20,IF(AA18="ฝนชุก1",21,22))),IF(F20=15%,VLOOKUP(K22,FROAD,IF(AA18="ปกติ",23,IF(AA18="ฝนชุก1",24,25))),"ERROR")))))*AB18</f>
        <v>0</v>
      </c>
      <c r="AB22" s="757">
        <f>+IF(F21=10%,IF(F20=0%,VLOOKUP(K22,FROAD,IF(AA18="ปกติ",26,IF(AA18="ฝนชุก1",27,28))),IF(F20=5%,VLOOKUP(K22,FROAD,IF(AA18="ปกติ",29,IF(AA18="ฝนชุก1",30,31))),IF(F20=10%,VLOOKUP(K22,FROAD,IF(AA18="ปกติ",32,IF(AA18="ฝนชุก1",33,34))),IF(F20=15%,VLOOKUP(K22,FROAD,IF(AA18="ปกติ",35,IF(AA18="ฝนชุก1",36,37))),"ERROR")))))*AB18</f>
        <v>0</v>
      </c>
    </row>
    <row r="23" spans="1:112" ht="19.5" thickBot="1">
      <c r="A23" s="758"/>
      <c r="B23" s="759" t="s">
        <v>17</v>
      </c>
      <c r="C23" s="760"/>
      <c r="D23" s="760"/>
      <c r="E23" s="761"/>
      <c r="F23" s="762">
        <v>7.0000000000000007E-2</v>
      </c>
      <c r="G23" s="763"/>
      <c r="H23" s="764"/>
      <c r="I23" s="765"/>
      <c r="K23" s="766" t="s">
        <v>663</v>
      </c>
    </row>
    <row r="24" spans="1:112">
      <c r="A24" s="767" t="s">
        <v>182</v>
      </c>
      <c r="B24" s="637"/>
      <c r="C24" s="637"/>
      <c r="D24" s="637"/>
      <c r="E24" s="637"/>
      <c r="F24" s="637"/>
      <c r="G24" s="768"/>
      <c r="H24" s="769">
        <f>SUM(H9:H23)</f>
        <v>34162013.529084004</v>
      </c>
      <c r="I24" s="770"/>
      <c r="K24" s="20"/>
      <c r="L24" s="771" t="s">
        <v>664</v>
      </c>
    </row>
    <row r="25" spans="1:112" ht="12.75" customHeight="1">
      <c r="A25" s="21"/>
      <c r="B25" s="6"/>
      <c r="C25" s="6"/>
      <c r="D25" s="6"/>
      <c r="E25" s="6"/>
      <c r="F25" s="22"/>
      <c r="G25" s="22"/>
      <c r="H25" s="22"/>
      <c r="I25" s="20"/>
      <c r="J25" s="6"/>
      <c r="K25" s="6"/>
      <c r="L25" s="6"/>
      <c r="M25" s="6"/>
      <c r="N25" s="6"/>
      <c r="O25" s="6"/>
      <c r="P25" s="6"/>
      <c r="Q25" s="6"/>
      <c r="R25" s="407"/>
      <c r="S25" s="407"/>
      <c r="T25" s="407"/>
      <c r="U25" s="407"/>
      <c r="V25" s="407"/>
      <c r="W25" s="407"/>
      <c r="X25" s="407"/>
      <c r="Y25" s="407"/>
      <c r="Z25" s="407"/>
      <c r="AA25" s="407"/>
      <c r="AB25" s="407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</row>
    <row r="26" spans="1:112" ht="15.75" customHeight="1">
      <c r="A26" s="772"/>
      <c r="B26" s="773" t="s">
        <v>696</v>
      </c>
      <c r="C26" s="773"/>
      <c r="D26" s="773"/>
      <c r="E26" s="773"/>
      <c r="F26" s="6"/>
      <c r="G26" s="22"/>
      <c r="H26" s="22"/>
      <c r="I26" s="20"/>
      <c r="J26" s="6"/>
      <c r="K26" s="6"/>
      <c r="L26" s="6"/>
      <c r="M26" s="6"/>
      <c r="N26" s="6"/>
      <c r="O26" s="6"/>
      <c r="P26" s="6"/>
      <c r="Q26" s="6"/>
      <c r="R26" s="407"/>
      <c r="S26" s="407"/>
      <c r="T26" s="407"/>
      <c r="U26" s="407"/>
      <c r="V26" s="407"/>
      <c r="W26" s="407"/>
      <c r="X26" s="407"/>
      <c r="Y26" s="407"/>
      <c r="Z26" s="407"/>
      <c r="AA26" s="407"/>
      <c r="AB26" s="407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</row>
    <row r="27" spans="1:112">
      <c r="A27" s="774"/>
      <c r="B27" s="775" t="s">
        <v>697</v>
      </c>
      <c r="C27" s="639" t="s">
        <v>704</v>
      </c>
      <c r="D27" s="639"/>
      <c r="E27" s="8" t="s">
        <v>701</v>
      </c>
      <c r="F27" s="6"/>
      <c r="G27" s="11"/>
      <c r="H27" s="107"/>
      <c r="I27" s="107"/>
      <c r="J27" s="6"/>
      <c r="K27" s="11"/>
      <c r="L27" s="107"/>
      <c r="M27" s="107"/>
      <c r="N27" s="6"/>
    </row>
    <row r="28" spans="1:112">
      <c r="B28" s="775"/>
      <c r="C28" s="639" t="s">
        <v>9</v>
      </c>
      <c r="D28" s="639"/>
      <c r="E28" s="8"/>
      <c r="F28" s="6"/>
      <c r="G28" s="639"/>
      <c r="H28" s="639"/>
      <c r="I28" s="14"/>
      <c r="J28" s="6"/>
      <c r="K28" s="639"/>
      <c r="L28" s="639"/>
      <c r="M28" s="14"/>
      <c r="N28" s="6"/>
    </row>
    <row r="29" spans="1:112">
      <c r="B29" s="775" t="s">
        <v>698</v>
      </c>
      <c r="C29" s="639" t="s">
        <v>705</v>
      </c>
      <c r="D29" s="639"/>
      <c r="E29" s="8" t="s">
        <v>702</v>
      </c>
      <c r="F29" s="6"/>
      <c r="G29" s="639"/>
      <c r="H29" s="639"/>
      <c r="I29" s="14"/>
      <c r="J29" s="6"/>
      <c r="K29" s="639"/>
      <c r="L29" s="639"/>
      <c r="M29" s="14"/>
      <c r="N29" s="6"/>
    </row>
    <row r="30" spans="1:112">
      <c r="B30" s="775"/>
      <c r="C30" s="639" t="s">
        <v>9</v>
      </c>
      <c r="D30" s="639"/>
      <c r="E30" s="8"/>
      <c r="F30" s="6"/>
      <c r="G30" s="639"/>
      <c r="H30" s="639"/>
      <c r="I30" s="407"/>
      <c r="J30" s="6"/>
      <c r="K30" s="639"/>
      <c r="L30" s="639"/>
      <c r="M30" s="407"/>
      <c r="N30" s="6"/>
    </row>
    <row r="31" spans="1:112">
      <c r="B31" s="775" t="s">
        <v>698</v>
      </c>
      <c r="C31" s="639" t="s">
        <v>706</v>
      </c>
      <c r="D31" s="639"/>
      <c r="E31" s="8" t="s">
        <v>703</v>
      </c>
      <c r="F31" s="6"/>
      <c r="G31" s="639"/>
      <c r="H31" s="639"/>
      <c r="I31" s="12"/>
      <c r="J31" s="6"/>
      <c r="K31" s="639"/>
      <c r="L31" s="639"/>
      <c r="M31" s="12"/>
      <c r="N31" s="6"/>
    </row>
    <row r="32" spans="1:112">
      <c r="B32" s="775"/>
      <c r="C32" s="639" t="s">
        <v>9</v>
      </c>
      <c r="D32" s="639"/>
      <c r="E32" s="8"/>
      <c r="F32" s="6"/>
      <c r="G32" s="639"/>
      <c r="H32" s="639"/>
      <c r="I32" s="407"/>
      <c r="J32" s="6"/>
      <c r="K32" s="639"/>
      <c r="L32" s="639"/>
      <c r="M32" s="407"/>
      <c r="N32" s="6"/>
    </row>
    <row r="33" spans="2:14">
      <c r="B33" s="775" t="s">
        <v>699</v>
      </c>
      <c r="C33" s="776" t="s">
        <v>707</v>
      </c>
      <c r="D33" s="776"/>
      <c r="E33" s="8" t="s">
        <v>702</v>
      </c>
      <c r="F33" s="6"/>
      <c r="G33" s="639"/>
      <c r="H33" s="639"/>
      <c r="I33" s="12"/>
      <c r="J33" s="6"/>
      <c r="K33" s="639"/>
      <c r="L33" s="639"/>
      <c r="M33" s="12"/>
      <c r="N33" s="6"/>
    </row>
    <row r="34" spans="2:14">
      <c r="B34" s="775"/>
      <c r="C34" s="776" t="s">
        <v>9</v>
      </c>
      <c r="D34" s="776"/>
      <c r="E34" s="8"/>
      <c r="F34" s="6"/>
      <c r="G34" s="639"/>
      <c r="H34" s="639"/>
      <c r="I34" s="407"/>
      <c r="J34" s="6"/>
      <c r="K34" s="639"/>
      <c r="L34" s="639"/>
      <c r="M34" s="407"/>
      <c r="N34" s="6"/>
    </row>
    <row r="35" spans="2:14">
      <c r="B35" s="775" t="s">
        <v>700</v>
      </c>
      <c r="C35" s="639" t="s">
        <v>708</v>
      </c>
      <c r="D35" s="639"/>
      <c r="E35" s="8" t="s">
        <v>702</v>
      </c>
      <c r="F35" s="6"/>
      <c r="G35" s="15"/>
      <c r="H35" s="6"/>
      <c r="I35" s="407"/>
      <c r="J35" s="6"/>
      <c r="K35" s="15"/>
      <c r="L35" s="6"/>
      <c r="M35" s="407"/>
      <c r="N35" s="6"/>
    </row>
    <row r="36" spans="2:14">
      <c r="C36" s="639" t="s">
        <v>9</v>
      </c>
      <c r="D36" s="639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G40" s="407"/>
      <c r="H40" s="6"/>
      <c r="I40" s="6"/>
    </row>
  </sheetData>
  <dataConsolidate/>
  <mergeCells count="31">
    <mergeCell ref="C34:D34"/>
    <mergeCell ref="V19:X19"/>
    <mergeCell ref="Z19:AB19"/>
    <mergeCell ref="A1:I1"/>
    <mergeCell ref="B7:E7"/>
    <mergeCell ref="G33:H33"/>
    <mergeCell ref="R19:T19"/>
    <mergeCell ref="A24:G24"/>
    <mergeCell ref="C28:D28"/>
    <mergeCell ref="C30:D30"/>
    <mergeCell ref="C32:D32"/>
    <mergeCell ref="C27:D27"/>
    <mergeCell ref="C29:D29"/>
    <mergeCell ref="C31:D31"/>
    <mergeCell ref="C33:D33"/>
    <mergeCell ref="C36:D36"/>
    <mergeCell ref="B26:E26"/>
    <mergeCell ref="G34:H34"/>
    <mergeCell ref="K28:L28"/>
    <mergeCell ref="K29:L29"/>
    <mergeCell ref="K30:L30"/>
    <mergeCell ref="K31:L31"/>
    <mergeCell ref="K32:L32"/>
    <mergeCell ref="K33:L33"/>
    <mergeCell ref="K34:L34"/>
    <mergeCell ref="G28:H28"/>
    <mergeCell ref="G29:H29"/>
    <mergeCell ref="G30:H30"/>
    <mergeCell ref="G31:H31"/>
    <mergeCell ref="G32:H32"/>
    <mergeCell ref="C35:D35"/>
  </mergeCells>
  <phoneticPr fontId="3" type="noConversion"/>
  <dataValidations disablePrompts="1" count="6">
    <dataValidation type="list" allowBlank="1" showInputMessage="1" showErrorMessage="1" sqref="K22">
      <formula1>IF(K19="งานอาคาร",BUDJET1,IF(K19="งานทาง",BUDJET2,IF(K19="งานสะพานและท่อเหลี่ยม",BUDJET3,"")))</formula1>
    </dataValidation>
    <dataValidation type="list" allowBlank="1" showInputMessage="1" showErrorMessage="1" sqref="K21">
      <formula1>IF(K19="งานอาคาร",BUDJET1,IF(K19="งานทาง",BUDJET2,IF(K19="งานสะพานและท่อเหลี่ยม",BUDJET3,"")))</formula1>
    </dataValidation>
    <dataValidation type="list" allowBlank="1" showInputMessage="1" showErrorMessage="1" sqref="B2">
      <formula1>"งานอาคาร,งานทาง,งานสะพานและท่อเหลี่ยม,งานชลประทาน"</formula1>
    </dataValidation>
    <dataValidation type="list" allowBlank="1" showInputMessage="1" showErrorMessage="1" sqref="F20">
      <formula1>"0%,5%,10%,15%"</formula1>
    </dataValidation>
    <dataValidation type="list" allowBlank="1" showInputMessage="1" showErrorMessage="1" sqref="F21">
      <formula1>"0%,5%,10%"</formula1>
    </dataValidation>
    <dataValidation type="list" allowBlank="1" showInputMessage="1" showErrorMessage="1" sqref="G8">
      <formula1>"ปกติ,ฝนชุก1,ฝนชุก2,   "</formula1>
    </dataValidation>
  </dataValidations>
  <printOptions horizontalCentered="1"/>
  <pageMargins left="0.43307086614173229" right="0.43307086614173229" top="0.59055118110236227" bottom="0.31496062992125984" header="0.27559055118110237" footer="0.19685039370078741"/>
  <pageSetup paperSize="9" orientation="portrait" horizontalDpi="300" verticalDpi="300" r:id="rId1"/>
  <headerFooter alignWithMargins="0">
    <oddHeader>&amp;Rแบบ  ปร.5 (ก)   แผ่นที่  &amp;P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B68"/>
  <sheetViews>
    <sheetView showGridLines="0" view="pageBreakPreview" topLeftCell="A7" zoomScaleNormal="100" zoomScaleSheetLayoutView="100" workbookViewId="0">
      <selection activeCell="F27" sqref="F27"/>
    </sheetView>
  </sheetViews>
  <sheetFormatPr defaultColWidth="9.140625" defaultRowHeight="18"/>
  <cols>
    <col min="1" max="2" width="11.42578125" style="1" customWidth="1"/>
    <col min="3" max="3" width="15.42578125" style="1" customWidth="1"/>
    <col min="4" max="4" width="11.42578125" style="1" customWidth="1"/>
    <col min="5" max="5" width="8.28515625" style="1" customWidth="1"/>
    <col min="6" max="6" width="13.140625" style="3" customWidth="1"/>
    <col min="7" max="7" width="9.28515625" style="3" customWidth="1"/>
    <col min="8" max="8" width="14.28515625" style="1" customWidth="1"/>
    <col min="9" max="9" width="8.5703125" style="1" customWidth="1"/>
    <col min="10" max="106" width="9.140625" style="1"/>
    <col min="107" max="16384" width="9.140625" style="4"/>
  </cols>
  <sheetData>
    <row r="1" spans="1:33" s="5" customFormat="1" ht="23.25">
      <c r="A1" s="634" t="s">
        <v>100</v>
      </c>
      <c r="B1" s="634"/>
      <c r="C1" s="634"/>
      <c r="D1" s="634"/>
      <c r="E1" s="634"/>
      <c r="F1" s="634"/>
      <c r="G1" s="634"/>
      <c r="H1" s="634"/>
      <c r="I1" s="634"/>
      <c r="J1" s="17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33" ht="18.75">
      <c r="A2" s="103" t="s">
        <v>90</v>
      </c>
      <c r="B2" s="378" t="str">
        <f>'ใบสรุปแบบ ปร.5 (ก) '!B2</f>
        <v>งานอาคาร</v>
      </c>
      <c r="C2" s="103"/>
      <c r="D2" s="103"/>
      <c r="E2" s="103"/>
      <c r="F2" s="19"/>
      <c r="G2" s="104"/>
      <c r="H2" s="635"/>
      <c r="I2" s="635"/>
      <c r="J2" s="1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3" ht="18.75">
      <c r="A3" s="105" t="s">
        <v>87</v>
      </c>
      <c r="B3" s="105" t="str">
        <f>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C3" s="105"/>
      <c r="D3" s="105"/>
      <c r="E3" s="105"/>
      <c r="F3" s="62"/>
      <c r="G3" s="62"/>
      <c r="H3" s="62"/>
      <c r="I3" s="62"/>
      <c r="J3" s="7"/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3" ht="23.25">
      <c r="A4" s="105" t="s">
        <v>91</v>
      </c>
      <c r="B4" s="105" t="str">
        <f>+'แบบ ปร.6'!B3</f>
        <v>จ.ชลบุรี</v>
      </c>
      <c r="C4" s="105"/>
      <c r="D4" s="62" t="s">
        <v>14</v>
      </c>
      <c r="E4" s="62" t="str">
        <f>+'แบบ ปร.6'!B4</f>
        <v>62-2-101,63-5-006,62-4-030</v>
      </c>
      <c r="F4" s="62"/>
      <c r="H4" s="105"/>
      <c r="I4" s="105"/>
      <c r="J4" s="7"/>
      <c r="K4" s="1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33" ht="18.75">
      <c r="A5" s="105" t="s">
        <v>82</v>
      </c>
      <c r="B5" s="105"/>
      <c r="C5" s="105"/>
      <c r="D5" s="105" t="str">
        <f>+'แบบ ปร.6'!C5</f>
        <v>สอ.รฝ.</v>
      </c>
      <c r="E5" s="105"/>
      <c r="F5" s="105" t="s">
        <v>93</v>
      </c>
      <c r="G5" s="106"/>
      <c r="H5" s="379">
        <v>1</v>
      </c>
      <c r="I5" s="105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G5" s="4"/>
    </row>
    <row r="6" spans="1:33" ht="19.5" thickBot="1">
      <c r="A6" s="105"/>
      <c r="B6" s="105"/>
      <c r="C6" s="105"/>
      <c r="D6" s="105"/>
      <c r="E6" s="105"/>
      <c r="F6" s="105"/>
      <c r="G6" s="106"/>
      <c r="H6" s="105"/>
      <c r="I6" s="105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33" ht="19.5" thickTop="1">
      <c r="A7" s="101" t="s">
        <v>0</v>
      </c>
      <c r="B7" s="640" t="s">
        <v>101</v>
      </c>
      <c r="C7" s="641"/>
      <c r="D7" s="641"/>
      <c r="E7" s="642"/>
      <c r="F7" s="96" t="s">
        <v>21</v>
      </c>
      <c r="G7" s="96" t="s">
        <v>98</v>
      </c>
      <c r="H7" s="96" t="s">
        <v>665</v>
      </c>
      <c r="I7" s="101" t="s">
        <v>8</v>
      </c>
      <c r="J7" s="1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33" ht="19.5" thickBot="1">
      <c r="A8" s="102"/>
      <c r="B8" s="109"/>
      <c r="C8" s="110"/>
      <c r="D8" s="110"/>
      <c r="E8" s="108"/>
      <c r="F8" s="97" t="s">
        <v>92</v>
      </c>
      <c r="G8" s="97" t="s">
        <v>99</v>
      </c>
      <c r="H8" s="97" t="s">
        <v>92</v>
      </c>
      <c r="I8" s="102"/>
      <c r="J8" s="1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33" ht="19.5" thickTop="1">
      <c r="A9" s="23">
        <v>1</v>
      </c>
      <c r="B9" s="119" t="s">
        <v>652</v>
      </c>
      <c r="C9" s="116"/>
      <c r="D9" s="114"/>
      <c r="E9" s="111"/>
      <c r="F9" s="393">
        <f>+ครุภัณฑ์!I26</f>
        <v>783342</v>
      </c>
      <c r="G9" s="394"/>
      <c r="H9" s="394"/>
      <c r="I9" s="24" t="s">
        <v>9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33" ht="18.75">
      <c r="A10" s="23"/>
      <c r="B10" s="117"/>
      <c r="C10" s="114"/>
      <c r="D10" s="114"/>
      <c r="E10" s="111"/>
      <c r="F10" s="393"/>
      <c r="G10" s="394"/>
      <c r="H10" s="394"/>
      <c r="I10" s="24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33" ht="18.75">
      <c r="A11" s="23"/>
      <c r="B11" s="117"/>
      <c r="C11" s="114"/>
      <c r="D11" s="114"/>
      <c r="E11" s="111"/>
      <c r="F11" s="393"/>
      <c r="G11" s="394"/>
      <c r="H11" s="394"/>
      <c r="I11" s="24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33" ht="18.75">
      <c r="A12" s="23"/>
      <c r="B12" s="117"/>
      <c r="C12" s="114"/>
      <c r="D12" s="114"/>
      <c r="E12" s="111"/>
      <c r="F12" s="393"/>
      <c r="G12" s="394"/>
      <c r="H12" s="394"/>
      <c r="I12" s="24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33" ht="18.75">
      <c r="A13" s="23"/>
      <c r="B13" s="117"/>
      <c r="C13" s="114"/>
      <c r="D13" s="114"/>
      <c r="E13" s="111"/>
      <c r="F13" s="393"/>
      <c r="G13" s="394"/>
      <c r="H13" s="394"/>
      <c r="I13" s="24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33" ht="18.75">
      <c r="A14" s="23"/>
      <c r="B14" s="117"/>
      <c r="C14" s="114"/>
      <c r="D14" s="114"/>
      <c r="E14" s="111"/>
      <c r="F14" s="393"/>
      <c r="G14" s="394"/>
      <c r="H14" s="394"/>
      <c r="I14" s="24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33" ht="18.75">
      <c r="A15" s="23"/>
      <c r="B15" s="117"/>
      <c r="C15" s="114"/>
      <c r="D15" s="114"/>
      <c r="E15" s="111"/>
      <c r="F15" s="393"/>
      <c r="G15" s="394"/>
      <c r="H15" s="394"/>
      <c r="I15" s="24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33" ht="18.75">
      <c r="A16" s="23"/>
      <c r="B16" s="117"/>
      <c r="C16" s="114"/>
      <c r="D16" s="114"/>
      <c r="E16" s="111"/>
      <c r="F16" s="393"/>
      <c r="G16" s="394"/>
      <c r="H16" s="394"/>
      <c r="I16" s="24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106" ht="18.75">
      <c r="A17" s="23"/>
      <c r="B17" s="117"/>
      <c r="C17" s="114"/>
      <c r="D17" s="114"/>
      <c r="E17" s="111"/>
      <c r="F17" s="393"/>
      <c r="G17" s="394"/>
      <c r="H17" s="394"/>
      <c r="I17" s="24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106" ht="18.75">
      <c r="A18" s="23"/>
      <c r="B18" s="117"/>
      <c r="C18" s="114"/>
      <c r="D18" s="114"/>
      <c r="E18" s="111"/>
      <c r="F18" s="393"/>
      <c r="G18" s="394"/>
      <c r="H18" s="394"/>
      <c r="I18" s="24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106" ht="18.75">
      <c r="A19" s="25"/>
      <c r="B19" s="113"/>
      <c r="C19" s="115"/>
      <c r="D19" s="115"/>
      <c r="E19" s="112"/>
      <c r="F19" s="394"/>
      <c r="G19" s="395"/>
      <c r="H19" s="396"/>
      <c r="I19" s="26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106" ht="19.5" thickBot="1">
      <c r="A20" s="213"/>
      <c r="B20" s="214"/>
      <c r="C20" s="178"/>
      <c r="D20" s="178"/>
      <c r="E20" s="179"/>
      <c r="F20" s="397"/>
      <c r="G20" s="398"/>
      <c r="H20" s="399"/>
      <c r="I20" s="21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106" ht="18.75">
      <c r="A21" s="208"/>
      <c r="B21" s="209" t="s">
        <v>96</v>
      </c>
      <c r="C21" s="210"/>
      <c r="D21" s="210"/>
      <c r="E21" s="211"/>
      <c r="F21" s="400">
        <f>SUM(F9:F17)</f>
        <v>783342</v>
      </c>
      <c r="G21" s="401">
        <v>1.07</v>
      </c>
      <c r="H21" s="400">
        <f>F21*G21</f>
        <v>838175.94000000006</v>
      </c>
      <c r="I21" s="21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106" ht="19.5" thickBot="1">
      <c r="A22" s="213"/>
      <c r="B22" s="214"/>
      <c r="C22" s="178"/>
      <c r="D22" s="178"/>
      <c r="E22" s="179"/>
      <c r="F22" s="397"/>
      <c r="G22" s="398"/>
      <c r="H22" s="402"/>
      <c r="I22" s="21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106" ht="18.75">
      <c r="A23" s="636" t="s">
        <v>97</v>
      </c>
      <c r="B23" s="637"/>
      <c r="C23" s="637"/>
      <c r="D23" s="637"/>
      <c r="E23" s="637"/>
      <c r="F23" s="637"/>
      <c r="G23" s="638"/>
      <c r="H23" s="403">
        <f>SUM(H9:H22)</f>
        <v>838175.94000000006</v>
      </c>
      <c r="I23" s="216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106" ht="18.75">
      <c r="A24" s="21"/>
      <c r="B24" s="4"/>
      <c r="C24" s="4"/>
      <c r="D24" s="4"/>
      <c r="E24" s="4"/>
      <c r="F24" s="22"/>
      <c r="G24" s="22"/>
      <c r="H24" s="22"/>
      <c r="I24" s="20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</row>
    <row r="25" spans="1:106" ht="18.75">
      <c r="A25" s="21"/>
      <c r="B25" s="631" t="s">
        <v>696</v>
      </c>
      <c r="C25" s="631"/>
      <c r="D25" s="631"/>
      <c r="E25" s="631"/>
      <c r="F25" s="4"/>
      <c r="G25" s="22"/>
      <c r="H25" s="22"/>
      <c r="I25" s="20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</row>
    <row r="26" spans="1:106" ht="18.75">
      <c r="A26" s="16"/>
      <c r="B26" s="405" t="s">
        <v>697</v>
      </c>
      <c r="C26" s="630" t="s">
        <v>704</v>
      </c>
      <c r="D26" s="630"/>
      <c r="E26" s="288" t="s">
        <v>701</v>
      </c>
      <c r="F26" s="4"/>
      <c r="G26" s="11"/>
      <c r="H26" s="107"/>
      <c r="I26" s="107"/>
      <c r="J26" s="6"/>
      <c r="K26" s="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106" ht="18.75">
      <c r="A27" s="7"/>
      <c r="B27" s="405"/>
      <c r="C27" s="630" t="s">
        <v>9</v>
      </c>
      <c r="D27" s="630"/>
      <c r="E27" s="288"/>
      <c r="F27" s="4"/>
      <c r="G27" s="639"/>
      <c r="H27" s="639"/>
      <c r="I27" s="14"/>
      <c r="J27" s="6"/>
      <c r="K27" s="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106" ht="18.75">
      <c r="A28" s="7"/>
      <c r="B28" s="405" t="s">
        <v>698</v>
      </c>
      <c r="C28" s="630" t="s">
        <v>705</v>
      </c>
      <c r="D28" s="630"/>
      <c r="E28" s="288" t="s">
        <v>702</v>
      </c>
      <c r="F28" s="4"/>
      <c r="G28" s="639"/>
      <c r="H28" s="639"/>
      <c r="I28" s="14"/>
      <c r="J28" s="6"/>
      <c r="K28" s="6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106" ht="18.75">
      <c r="A29" s="7"/>
      <c r="B29" s="405"/>
      <c r="C29" s="630" t="s">
        <v>9</v>
      </c>
      <c r="D29" s="630"/>
      <c r="E29" s="288"/>
      <c r="F29" s="4"/>
      <c r="G29" s="639"/>
      <c r="H29" s="639"/>
      <c r="I29" s="372"/>
      <c r="J29" s="6"/>
      <c r="K29" s="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106" ht="18.75">
      <c r="A30" s="7"/>
      <c r="B30" s="405" t="s">
        <v>698</v>
      </c>
      <c r="C30" s="630" t="s">
        <v>706</v>
      </c>
      <c r="D30" s="630"/>
      <c r="E30" s="288" t="s">
        <v>703</v>
      </c>
      <c r="F30" s="4"/>
      <c r="G30" s="639"/>
      <c r="H30" s="639"/>
      <c r="I30" s="12"/>
      <c r="J30" s="6"/>
      <c r="K30" s="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106" ht="18.75">
      <c r="A31" s="7"/>
      <c r="B31" s="405"/>
      <c r="C31" s="630" t="s">
        <v>9</v>
      </c>
      <c r="D31" s="630"/>
      <c r="E31" s="288"/>
      <c r="F31" s="4"/>
      <c r="G31" s="639"/>
      <c r="H31" s="639"/>
      <c r="I31" s="372"/>
      <c r="J31" s="6"/>
      <c r="K31" s="6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106" ht="18.75">
      <c r="A32" s="7"/>
      <c r="B32" s="405" t="s">
        <v>699</v>
      </c>
      <c r="C32" s="632" t="s">
        <v>707</v>
      </c>
      <c r="D32" s="632"/>
      <c r="E32" s="288" t="s">
        <v>702</v>
      </c>
      <c r="F32" s="4"/>
      <c r="G32" s="639"/>
      <c r="H32" s="639"/>
      <c r="I32" s="12"/>
      <c r="J32" s="6"/>
      <c r="K32" s="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8.75">
      <c r="A33" s="7"/>
      <c r="B33" s="405"/>
      <c r="C33" s="632" t="s">
        <v>9</v>
      </c>
      <c r="D33" s="632"/>
      <c r="E33" s="288"/>
      <c r="F33" s="4"/>
      <c r="G33" s="639"/>
      <c r="H33" s="639"/>
      <c r="I33" s="372"/>
      <c r="J33" s="6"/>
      <c r="K33" s="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8.75">
      <c r="A34" s="7"/>
      <c r="B34" s="405" t="s">
        <v>700</v>
      </c>
      <c r="C34" s="630" t="s">
        <v>708</v>
      </c>
      <c r="D34" s="630"/>
      <c r="E34" s="288" t="s">
        <v>702</v>
      </c>
      <c r="F34" s="6"/>
      <c r="G34" s="15"/>
      <c r="H34" s="6"/>
      <c r="I34" s="372"/>
      <c r="J34" s="6"/>
      <c r="K34" s="6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8.75">
      <c r="A35" s="7"/>
      <c r="C35" s="633" t="s">
        <v>9</v>
      </c>
      <c r="D35" s="633"/>
      <c r="F35" s="6"/>
      <c r="G35" s="6"/>
      <c r="H35" s="6"/>
      <c r="I35" s="6"/>
      <c r="J35" s="6"/>
      <c r="K35" s="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8.75">
      <c r="A36" s="7"/>
      <c r="B36" s="7"/>
      <c r="C36" s="7"/>
      <c r="D36" s="7"/>
      <c r="E36" s="7"/>
      <c r="F36" s="6"/>
      <c r="G36" s="6"/>
      <c r="H36" s="6"/>
      <c r="I36" s="6"/>
      <c r="J36" s="6"/>
      <c r="K36" s="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8.75">
      <c r="A37" s="7"/>
      <c r="B37" s="7"/>
      <c r="C37" s="7"/>
      <c r="D37" s="7"/>
      <c r="E37" s="7"/>
      <c r="F37" s="6"/>
      <c r="G37" s="6"/>
      <c r="H37" s="6"/>
      <c r="I37" s="6"/>
      <c r="J37" s="6"/>
      <c r="K37" s="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8.75">
      <c r="A38" s="7"/>
      <c r="B38" s="7"/>
      <c r="C38" s="7"/>
      <c r="D38" s="7"/>
      <c r="E38" s="7"/>
      <c r="F38" s="6"/>
      <c r="G38" s="6"/>
      <c r="H38" s="6"/>
      <c r="I38" s="6"/>
      <c r="J38" s="6"/>
      <c r="K38" s="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8.75">
      <c r="A39" s="7"/>
      <c r="B39" s="7"/>
      <c r="C39" s="7"/>
      <c r="D39" s="7"/>
      <c r="E39" s="7"/>
      <c r="F39" s="13"/>
      <c r="G39" s="372"/>
      <c r="H39" s="6"/>
      <c r="I39" s="6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8.75">
      <c r="A40" s="7"/>
      <c r="B40" s="7"/>
      <c r="C40" s="7"/>
      <c r="D40" s="7"/>
      <c r="E40" s="7"/>
      <c r="F40" s="13"/>
      <c r="G40" s="13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8.75">
      <c r="A41" s="7"/>
      <c r="B41" s="7"/>
      <c r="C41" s="7"/>
      <c r="D41" s="7"/>
      <c r="E41" s="7"/>
      <c r="F41" s="13"/>
      <c r="G41" s="13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8.75">
      <c r="A42" s="7"/>
      <c r="B42" s="7"/>
      <c r="C42" s="7"/>
      <c r="D42" s="7"/>
      <c r="E42" s="7"/>
      <c r="F42" s="13"/>
      <c r="G42" s="13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8.75">
      <c r="A43" s="7"/>
      <c r="B43" s="7"/>
      <c r="C43" s="7"/>
      <c r="D43" s="7"/>
      <c r="E43" s="7"/>
      <c r="F43" s="13"/>
      <c r="G43" s="13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8.75">
      <c r="A44" s="7"/>
      <c r="B44" s="7"/>
      <c r="C44" s="7"/>
      <c r="D44" s="7"/>
      <c r="E44" s="7"/>
      <c r="F44" s="13"/>
      <c r="G44" s="13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8.75">
      <c r="A45" s="7"/>
      <c r="B45" s="7"/>
      <c r="C45" s="7"/>
      <c r="D45" s="7"/>
      <c r="E45" s="7"/>
      <c r="F45" s="13"/>
      <c r="G45" s="13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8.75">
      <c r="A46" s="7"/>
      <c r="B46" s="7"/>
      <c r="C46" s="7"/>
      <c r="D46" s="7"/>
      <c r="E46" s="7"/>
      <c r="F46" s="13"/>
      <c r="G46" s="13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8.75">
      <c r="A47" s="7"/>
      <c r="B47" s="7"/>
      <c r="C47" s="7"/>
      <c r="D47" s="7"/>
      <c r="E47" s="7"/>
      <c r="F47" s="13"/>
      <c r="G47" s="13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8.75">
      <c r="A48" s="7"/>
      <c r="B48" s="7"/>
      <c r="C48" s="7"/>
      <c r="D48" s="7"/>
      <c r="E48" s="7"/>
      <c r="F48" s="13"/>
      <c r="G48" s="13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8.75">
      <c r="A49" s="7"/>
      <c r="B49" s="7"/>
      <c r="C49" s="7"/>
      <c r="D49" s="7"/>
      <c r="E49" s="7"/>
      <c r="F49" s="13"/>
      <c r="G49" s="13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8.75">
      <c r="A50" s="7"/>
      <c r="B50" s="7"/>
      <c r="C50" s="7"/>
      <c r="D50" s="7"/>
      <c r="E50" s="7"/>
      <c r="F50" s="13"/>
      <c r="G50" s="13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8.75">
      <c r="A51" s="7"/>
      <c r="B51" s="7"/>
      <c r="C51" s="7"/>
      <c r="D51" s="7"/>
      <c r="E51" s="7"/>
      <c r="F51" s="13"/>
      <c r="G51" s="13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8.75">
      <c r="A52" s="7"/>
      <c r="B52" s="7"/>
      <c r="C52" s="7"/>
      <c r="D52" s="7"/>
      <c r="E52" s="7"/>
      <c r="F52" s="13"/>
      <c r="G52" s="13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8.75">
      <c r="A53" s="7"/>
      <c r="B53" s="7"/>
      <c r="C53" s="7"/>
      <c r="D53" s="7"/>
      <c r="E53" s="7"/>
      <c r="F53" s="13"/>
      <c r="G53" s="13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18.75">
      <c r="A54" s="7"/>
      <c r="B54" s="7"/>
      <c r="C54" s="7"/>
      <c r="D54" s="7"/>
      <c r="E54" s="7"/>
      <c r="F54" s="13"/>
      <c r="G54" s="13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18.75">
      <c r="A55" s="7"/>
      <c r="B55" s="7"/>
      <c r="C55" s="7"/>
      <c r="D55" s="7"/>
      <c r="E55" s="7"/>
      <c r="F55" s="13"/>
      <c r="G55" s="13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18.75">
      <c r="A56" s="7"/>
      <c r="B56" s="7"/>
      <c r="C56" s="7"/>
      <c r="D56" s="7"/>
      <c r="E56" s="7"/>
      <c r="F56" s="13"/>
      <c r="G56" s="13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18.75">
      <c r="A57" s="7"/>
      <c r="B57" s="7"/>
      <c r="C57" s="7"/>
      <c r="D57" s="7"/>
      <c r="E57" s="7"/>
      <c r="F57" s="13"/>
      <c r="G57" s="13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18.75">
      <c r="A58" s="7"/>
      <c r="B58" s="7"/>
      <c r="C58" s="7"/>
      <c r="D58" s="7"/>
      <c r="E58" s="7"/>
      <c r="F58" s="13"/>
      <c r="G58" s="13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18.75">
      <c r="A59" s="7"/>
      <c r="B59" s="7"/>
      <c r="C59" s="7"/>
      <c r="D59" s="7"/>
      <c r="E59" s="7"/>
      <c r="F59" s="13"/>
      <c r="G59" s="13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18.75">
      <c r="A60" s="7"/>
      <c r="B60" s="7"/>
      <c r="C60" s="7"/>
      <c r="D60" s="7"/>
      <c r="E60" s="7"/>
      <c r="F60" s="13"/>
      <c r="G60" s="13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18.75">
      <c r="A61" s="7"/>
      <c r="B61" s="7"/>
      <c r="C61" s="7"/>
      <c r="D61" s="7"/>
      <c r="E61" s="7"/>
      <c r="F61" s="13"/>
      <c r="G61" s="13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18.75">
      <c r="A62" s="7"/>
      <c r="B62" s="7"/>
      <c r="C62" s="7"/>
      <c r="D62" s="7"/>
      <c r="E62" s="7"/>
      <c r="F62" s="13"/>
      <c r="G62" s="13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18.75">
      <c r="A63" s="7"/>
      <c r="B63" s="7"/>
      <c r="C63" s="7"/>
      <c r="D63" s="7"/>
      <c r="E63" s="7"/>
      <c r="F63" s="13"/>
      <c r="G63" s="13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18.75">
      <c r="A64" s="7"/>
      <c r="B64" s="7"/>
      <c r="C64" s="7"/>
      <c r="D64" s="7"/>
      <c r="E64" s="7"/>
      <c r="F64" s="13"/>
      <c r="G64" s="13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18.75">
      <c r="A65" s="7"/>
      <c r="B65" s="7"/>
      <c r="C65" s="7"/>
      <c r="D65" s="7"/>
      <c r="E65" s="7"/>
      <c r="F65" s="13"/>
      <c r="G65" s="13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18.75">
      <c r="A66" s="7"/>
      <c r="B66" s="7"/>
      <c r="C66" s="7"/>
      <c r="D66" s="7"/>
      <c r="E66" s="7"/>
      <c r="F66" s="13"/>
      <c r="G66" s="13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18.75">
      <c r="A67" s="7"/>
      <c r="B67" s="7"/>
      <c r="C67" s="7"/>
      <c r="D67" s="7"/>
      <c r="E67" s="7"/>
      <c r="F67" s="13"/>
      <c r="G67" s="13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18.75">
      <c r="A68" s="7"/>
      <c r="B68" s="7"/>
      <c r="C68" s="7"/>
      <c r="D68" s="7"/>
      <c r="E68" s="7"/>
      <c r="F68" s="13"/>
      <c r="G68" s="13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</sheetData>
  <mergeCells count="22">
    <mergeCell ref="C33:D33"/>
    <mergeCell ref="C28:D28"/>
    <mergeCell ref="C30:D30"/>
    <mergeCell ref="C32:D32"/>
    <mergeCell ref="C29:D29"/>
    <mergeCell ref="C31:D31"/>
    <mergeCell ref="C35:D35"/>
    <mergeCell ref="A1:I1"/>
    <mergeCell ref="H2:I2"/>
    <mergeCell ref="A23:G23"/>
    <mergeCell ref="G27:H27"/>
    <mergeCell ref="B7:E7"/>
    <mergeCell ref="B25:E25"/>
    <mergeCell ref="C27:D27"/>
    <mergeCell ref="G31:H31"/>
    <mergeCell ref="G32:H32"/>
    <mergeCell ref="G33:H33"/>
    <mergeCell ref="G28:H28"/>
    <mergeCell ref="G29:H29"/>
    <mergeCell ref="C34:D34"/>
    <mergeCell ref="G30:H30"/>
    <mergeCell ref="C26:D26"/>
  </mergeCells>
  <dataValidations count="1">
    <dataValidation type="list" allowBlank="1" showInputMessage="1" showErrorMessage="1" sqref="H7">
      <formula1>"ค่าก่อสร้าง,ค่าซ่อมแซม,ค่าปรับปรุง,ค่าใช้จ่าย,ค่าจัดซื้อ"</formula1>
    </dataValidation>
  </dataValidations>
  <printOptions horizontalCentered="1"/>
  <pageMargins left="0.27559055118110237" right="0.27559055118110237" top="0.59055118110236227" bottom="0.31496062992125984" header="0.27559055118110237" footer="0.19685039370078741"/>
  <pageSetup paperSize="9" orientation="portrait" horizontalDpi="300" verticalDpi="300" r:id="rId1"/>
  <headerFooter alignWithMargins="0">
    <oddHeader>&amp;Rแบบ  ปร.5 (ข)   แผ่นที่ 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205"/>
  <sheetViews>
    <sheetView view="pageBreakPreview" topLeftCell="A159" zoomScale="85" zoomScaleNormal="100" zoomScaleSheetLayoutView="85" workbookViewId="0">
      <selection activeCell="K179" sqref="K179"/>
    </sheetView>
  </sheetViews>
  <sheetFormatPr defaultColWidth="9.140625" defaultRowHeight="18.75"/>
  <cols>
    <col min="1" max="1" width="10.42578125" style="469" customWidth="1"/>
    <col min="2" max="2" width="53" style="10" customWidth="1"/>
    <col min="3" max="3" width="8.5703125" style="10" customWidth="1"/>
    <col min="4" max="4" width="7" style="10" customWidth="1"/>
    <col min="5" max="5" width="12.42578125" style="10" bestFit="1" customWidth="1"/>
    <col min="6" max="6" width="13.5703125" style="10" bestFit="1" customWidth="1"/>
    <col min="7" max="7" width="12.42578125" style="10" customWidth="1"/>
    <col min="8" max="8" width="12.42578125" style="10" bestFit="1" customWidth="1"/>
    <col min="9" max="9" width="14.140625" style="10" customWidth="1"/>
    <col min="10" max="10" width="8.85546875" style="10" customWidth="1"/>
    <col min="11" max="11" width="15.85546875" style="10" customWidth="1"/>
    <col min="12" max="12" width="13.85546875" style="8" bestFit="1" customWidth="1"/>
    <col min="13" max="14" width="13.85546875" style="10" bestFit="1" customWidth="1"/>
    <col min="15" max="16384" width="9.140625" style="10"/>
  </cols>
  <sheetData>
    <row r="1" spans="1:12" s="8" customFormat="1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>
      <c r="A2" s="64" t="s">
        <v>86</v>
      </c>
      <c r="B2" s="62" t="str">
        <f>'ใบสรุปแบบ ปร.5 (ก) '!B2</f>
        <v>งานอาคาร</v>
      </c>
      <c r="C2" s="65" t="s">
        <v>14</v>
      </c>
      <c r="D2" s="62" t="str">
        <f>+'แบบ ปร.6'!B4</f>
        <v>62-2-101,63-5-006,62-4-030</v>
      </c>
      <c r="E2" s="63"/>
      <c r="F2" s="62"/>
      <c r="G2" s="62"/>
      <c r="H2" s="65"/>
      <c r="I2" s="63"/>
      <c r="J2" s="63"/>
    </row>
    <row r="3" spans="1:12" s="8" customFormat="1">
      <c r="A3" s="64" t="s">
        <v>87</v>
      </c>
      <c r="B3" s="62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E3" s="100"/>
      <c r="F3" s="62"/>
      <c r="G3" s="62"/>
      <c r="H3" s="63"/>
      <c r="I3" s="63"/>
      <c r="J3" s="62"/>
      <c r="K3" s="8">
        <f>7.5*4</f>
        <v>30</v>
      </c>
    </row>
    <row r="4" spans="1:12" s="66" customFormat="1">
      <c r="A4" s="64" t="s">
        <v>81</v>
      </c>
      <c r="B4" s="62" t="str">
        <f>+'แบบ ปร.6'!B3</f>
        <v>จ.ชลบุรี</v>
      </c>
      <c r="C4" s="62" t="s">
        <v>84</v>
      </c>
      <c r="D4" s="62"/>
      <c r="F4" s="63"/>
      <c r="G4" s="63"/>
      <c r="H4" s="63"/>
      <c r="I4" s="63"/>
      <c r="J4" s="63"/>
    </row>
    <row r="5" spans="1:12" s="66" customFormat="1" ht="19.5" thickBot="1">
      <c r="A5" s="408"/>
      <c r="B5" s="125"/>
      <c r="C5" s="125"/>
      <c r="D5" s="125"/>
      <c r="E5" s="125"/>
      <c r="F5" s="125"/>
      <c r="G5" s="125"/>
      <c r="H5" s="125"/>
      <c r="I5" s="126"/>
      <c r="J5" s="126"/>
    </row>
    <row r="6" spans="1:12" ht="19.5" thickTop="1">
      <c r="A6" s="121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</row>
    <row r="7" spans="1:12" ht="19.5" thickBot="1">
      <c r="A7" s="40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K7" s="61">
        <f>+I83+I102+I159+I177</f>
        <v>22649126.560000002</v>
      </c>
    </row>
    <row r="8" spans="1:12" ht="19.5" thickTop="1">
      <c r="A8" s="410"/>
      <c r="B8" s="411" t="s">
        <v>252</v>
      </c>
      <c r="C8" s="68"/>
      <c r="D8" s="69"/>
      <c r="E8" s="127"/>
      <c r="F8" s="127"/>
      <c r="G8" s="127"/>
      <c r="H8" s="406"/>
      <c r="I8" s="53"/>
      <c r="J8" s="69"/>
    </row>
    <row r="9" spans="1:12">
      <c r="A9" s="412"/>
      <c r="B9" s="413" t="s">
        <v>253</v>
      </c>
      <c r="C9" s="57"/>
      <c r="D9" s="57"/>
      <c r="E9" s="60"/>
      <c r="F9" s="60"/>
      <c r="G9" s="60"/>
      <c r="H9" s="60"/>
      <c r="I9" s="193"/>
      <c r="J9" s="55"/>
      <c r="L9" s="8">
        <f>790-70</f>
        <v>720</v>
      </c>
    </row>
    <row r="10" spans="1:12" s="28" customFormat="1">
      <c r="A10" s="412"/>
      <c r="B10" s="56" t="s">
        <v>254</v>
      </c>
      <c r="C10" s="57">
        <v>104</v>
      </c>
      <c r="D10" s="57" t="s">
        <v>250</v>
      </c>
      <c r="E10" s="414">
        <v>0</v>
      </c>
      <c r="F10" s="414">
        <f>+E10*C10</f>
        <v>0</v>
      </c>
      <c r="G10" s="415">
        <v>99</v>
      </c>
      <c r="H10" s="415">
        <f>+G10*C10</f>
        <v>10296</v>
      </c>
      <c r="I10" s="416">
        <f>+H10+F10</f>
        <v>10296</v>
      </c>
      <c r="J10" s="55"/>
      <c r="L10" s="27"/>
    </row>
    <row r="11" spans="1:12" s="28" customFormat="1">
      <c r="A11" s="412"/>
      <c r="B11" s="56" t="s">
        <v>256</v>
      </c>
      <c r="C11" s="57">
        <v>1</v>
      </c>
      <c r="D11" s="57" t="s">
        <v>31</v>
      </c>
      <c r="E11" s="417">
        <v>30000</v>
      </c>
      <c r="F11" s="417">
        <f t="shared" ref="F11:F12" si="0">SUM(C11*E11)</f>
        <v>30000</v>
      </c>
      <c r="G11" s="418" t="s">
        <v>258</v>
      </c>
      <c r="H11" s="419" t="s">
        <v>259</v>
      </c>
      <c r="I11" s="420">
        <f>SUM(F11)</f>
        <v>30000</v>
      </c>
      <c r="J11" s="55"/>
      <c r="L11" s="27"/>
    </row>
    <row r="12" spans="1:12" s="28" customFormat="1">
      <c r="A12" s="412"/>
      <c r="B12" s="421" t="s">
        <v>255</v>
      </c>
      <c r="C12" s="57">
        <v>110</v>
      </c>
      <c r="D12" s="57" t="s">
        <v>177</v>
      </c>
      <c r="E12" s="415">
        <f>7000+1175</f>
        <v>8175</v>
      </c>
      <c r="F12" s="417">
        <f t="shared" si="0"/>
        <v>899250</v>
      </c>
      <c r="G12" s="418" t="s">
        <v>258</v>
      </c>
      <c r="H12" s="419" t="s">
        <v>259</v>
      </c>
      <c r="I12" s="420">
        <f>SUM(F12)</f>
        <v>899250</v>
      </c>
      <c r="J12" s="55"/>
      <c r="L12" s="27"/>
    </row>
    <row r="13" spans="1:12" s="28" customFormat="1" ht="20.100000000000001" customHeight="1">
      <c r="A13" s="412"/>
      <c r="B13" s="55" t="s">
        <v>713</v>
      </c>
      <c r="C13" s="190">
        <v>110</v>
      </c>
      <c r="D13" s="190" t="s">
        <v>177</v>
      </c>
      <c r="E13" s="422" t="s">
        <v>260</v>
      </c>
      <c r="F13" s="422" t="s">
        <v>260</v>
      </c>
      <c r="G13" s="423">
        <v>350</v>
      </c>
      <c r="H13" s="423">
        <f t="shared" ref="H13" si="1">SUM(C13*G13)</f>
        <v>38500</v>
      </c>
      <c r="I13" s="420">
        <f>SUM(H13)</f>
        <v>38500</v>
      </c>
      <c r="J13" s="55"/>
      <c r="L13" s="27"/>
    </row>
    <row r="14" spans="1:12" ht="20.100000000000001" customHeight="1">
      <c r="A14" s="424"/>
      <c r="B14" s="425" t="s">
        <v>257</v>
      </c>
      <c r="C14" s="426">
        <v>110</v>
      </c>
      <c r="D14" s="427" t="s">
        <v>177</v>
      </c>
      <c r="E14" s="417">
        <v>250</v>
      </c>
      <c r="F14" s="417">
        <f t="shared" ref="F14:F15" si="2">SUM(C14*E14)</f>
        <v>27500</v>
      </c>
      <c r="G14" s="418" t="s">
        <v>258</v>
      </c>
      <c r="H14" s="419" t="s">
        <v>259</v>
      </c>
      <c r="I14" s="428">
        <f>SUM(F14)</f>
        <v>27500</v>
      </c>
      <c r="J14" s="55"/>
      <c r="K14" s="429"/>
      <c r="L14" s="430"/>
    </row>
    <row r="15" spans="1:12">
      <c r="A15" s="57"/>
      <c r="B15" s="56" t="s">
        <v>261</v>
      </c>
      <c r="C15" s="57">
        <v>5</v>
      </c>
      <c r="D15" s="57" t="s">
        <v>250</v>
      </c>
      <c r="E15" s="415">
        <v>2029</v>
      </c>
      <c r="F15" s="417">
        <f t="shared" si="2"/>
        <v>10145</v>
      </c>
      <c r="G15" s="418" t="s">
        <v>258</v>
      </c>
      <c r="H15" s="419" t="s">
        <v>259</v>
      </c>
      <c r="I15" s="428">
        <f>SUM(F15)</f>
        <v>10145</v>
      </c>
      <c r="J15" s="55"/>
    </row>
    <row r="16" spans="1:12">
      <c r="A16" s="56"/>
      <c r="B16" s="56" t="s">
        <v>263</v>
      </c>
      <c r="C16" s="57">
        <v>39</v>
      </c>
      <c r="D16" s="57" t="s">
        <v>250</v>
      </c>
      <c r="E16" s="415">
        <v>2141</v>
      </c>
      <c r="F16" s="415">
        <f>+E16*C16</f>
        <v>83499</v>
      </c>
      <c r="G16" s="415">
        <v>485</v>
      </c>
      <c r="H16" s="415">
        <f>+G16*C16</f>
        <v>18915</v>
      </c>
      <c r="I16" s="416">
        <f>+H16+F16</f>
        <v>102414</v>
      </c>
      <c r="J16" s="55"/>
    </row>
    <row r="17" spans="1:12">
      <c r="A17" s="57"/>
      <c r="B17" s="431" t="s">
        <v>262</v>
      </c>
      <c r="C17" s="86">
        <v>172</v>
      </c>
      <c r="D17" s="57" t="s">
        <v>117</v>
      </c>
      <c r="E17" s="415">
        <v>200</v>
      </c>
      <c r="F17" s="415">
        <f>+E17*C17</f>
        <v>34400</v>
      </c>
      <c r="G17" s="415">
        <v>133</v>
      </c>
      <c r="H17" s="415">
        <f>+G17*C17</f>
        <v>22876</v>
      </c>
      <c r="I17" s="416">
        <f>+H17+F17</f>
        <v>57276</v>
      </c>
      <c r="J17" s="55"/>
    </row>
    <row r="18" spans="1:12" s="28" customFormat="1">
      <c r="A18" s="56"/>
      <c r="B18" s="431" t="s">
        <v>264</v>
      </c>
      <c r="C18" s="86"/>
      <c r="D18" s="57"/>
      <c r="E18" s="60"/>
      <c r="F18" s="60"/>
      <c r="G18" s="60"/>
      <c r="H18" s="60"/>
      <c r="I18" s="416"/>
      <c r="J18" s="55"/>
      <c r="L18" s="27"/>
    </row>
    <row r="19" spans="1:12">
      <c r="A19" s="56"/>
      <c r="B19" s="56" t="s">
        <v>265</v>
      </c>
      <c r="C19" s="57">
        <v>0.14000000000000001</v>
      </c>
      <c r="D19" s="57" t="s">
        <v>266</v>
      </c>
      <c r="E19" s="415">
        <v>21379</v>
      </c>
      <c r="F19" s="415">
        <f>+E19*C19</f>
        <v>2993.0600000000004</v>
      </c>
      <c r="G19" s="415">
        <v>4100</v>
      </c>
      <c r="H19" s="415">
        <f>+G19*C19</f>
        <v>574</v>
      </c>
      <c r="I19" s="416">
        <f>+H19+F19</f>
        <v>3567.0600000000004</v>
      </c>
      <c r="J19" s="55"/>
    </row>
    <row r="20" spans="1:12">
      <c r="A20" s="56"/>
      <c r="B20" s="56" t="s">
        <v>267</v>
      </c>
      <c r="C20" s="57">
        <v>0.36</v>
      </c>
      <c r="D20" s="57" t="s">
        <v>266</v>
      </c>
      <c r="E20" s="415">
        <v>21307</v>
      </c>
      <c r="F20" s="415">
        <f t="shared" ref="F20:F23" si="3">+E20*C20</f>
        <v>7670.5199999999995</v>
      </c>
      <c r="G20" s="415">
        <v>3300</v>
      </c>
      <c r="H20" s="415">
        <f t="shared" ref="H20:H23" si="4">+G20*C20</f>
        <v>1188</v>
      </c>
      <c r="I20" s="416">
        <f t="shared" ref="I20:I23" si="5">+H20+F20</f>
        <v>8858.52</v>
      </c>
      <c r="J20" s="55"/>
    </row>
    <row r="21" spans="1:12">
      <c r="A21" s="56"/>
      <c r="B21" s="56" t="s">
        <v>268</v>
      </c>
      <c r="C21" s="57">
        <v>3.79</v>
      </c>
      <c r="D21" s="57" t="s">
        <v>266</v>
      </c>
      <c r="E21" s="415">
        <v>21541</v>
      </c>
      <c r="F21" s="415">
        <f t="shared" si="3"/>
        <v>81640.39</v>
      </c>
      <c r="G21" s="415">
        <v>3300</v>
      </c>
      <c r="H21" s="415">
        <f t="shared" si="4"/>
        <v>12507</v>
      </c>
      <c r="I21" s="416">
        <f t="shared" si="5"/>
        <v>94147.39</v>
      </c>
      <c r="J21" s="55"/>
    </row>
    <row r="22" spans="1:12">
      <c r="A22" s="57"/>
      <c r="B22" s="56" t="s">
        <v>269</v>
      </c>
      <c r="C22" s="57">
        <v>130</v>
      </c>
      <c r="D22" s="57" t="s">
        <v>270</v>
      </c>
      <c r="E22" s="415">
        <v>31</v>
      </c>
      <c r="F22" s="415">
        <f t="shared" si="3"/>
        <v>4030</v>
      </c>
      <c r="G22" s="414">
        <v>0</v>
      </c>
      <c r="H22" s="414">
        <f t="shared" si="4"/>
        <v>0</v>
      </c>
      <c r="I22" s="416">
        <f t="shared" si="5"/>
        <v>4030</v>
      </c>
      <c r="J22" s="55"/>
      <c r="K22" s="61"/>
    </row>
    <row r="23" spans="1:12">
      <c r="A23" s="424"/>
      <c r="B23" s="56" t="s">
        <v>271</v>
      </c>
      <c r="C23" s="57">
        <v>43</v>
      </c>
      <c r="D23" s="57" t="s">
        <v>270</v>
      </c>
      <c r="E23" s="415">
        <v>47</v>
      </c>
      <c r="F23" s="415">
        <f t="shared" si="3"/>
        <v>2021</v>
      </c>
      <c r="G23" s="414">
        <v>0</v>
      </c>
      <c r="H23" s="414">
        <f t="shared" si="4"/>
        <v>0</v>
      </c>
      <c r="I23" s="416">
        <f t="shared" si="5"/>
        <v>2021</v>
      </c>
      <c r="J23" s="55"/>
      <c r="K23" s="61"/>
    </row>
    <row r="24" spans="1:12">
      <c r="A24" s="424"/>
      <c r="B24" s="56"/>
      <c r="C24" s="57"/>
      <c r="D24" s="57"/>
      <c r="E24" s="60"/>
      <c r="F24" s="60"/>
      <c r="G24" s="60"/>
      <c r="H24" s="60"/>
      <c r="I24" s="193"/>
      <c r="J24" s="55"/>
      <c r="K24" s="61"/>
    </row>
    <row r="25" spans="1:12">
      <c r="A25" s="432"/>
      <c r="B25" s="57" t="s">
        <v>18</v>
      </c>
      <c r="C25" s="86"/>
      <c r="D25" s="57"/>
      <c r="E25" s="59"/>
      <c r="F25" s="433">
        <f>SUM(F9:F24)</f>
        <v>1183148.97</v>
      </c>
      <c r="G25" s="434"/>
      <c r="H25" s="433">
        <f>SUM(H9:H24)</f>
        <v>104856</v>
      </c>
      <c r="I25" s="416"/>
      <c r="J25" s="55"/>
      <c r="K25" s="61">
        <f>+H25+F25</f>
        <v>1288004.97</v>
      </c>
    </row>
    <row r="26" spans="1:12">
      <c r="A26" s="432"/>
      <c r="B26" s="412" t="s">
        <v>80</v>
      </c>
      <c r="C26" s="86"/>
      <c r="D26" s="57"/>
      <c r="E26" s="59"/>
      <c r="F26" s="415"/>
      <c r="G26" s="434"/>
      <c r="H26" s="435"/>
      <c r="I26" s="436">
        <f>SUM(I9:I24)</f>
        <v>1288004.97</v>
      </c>
      <c r="J26" s="55"/>
      <c r="K26" s="61"/>
    </row>
    <row r="27" spans="1:12">
      <c r="A27" s="410"/>
      <c r="B27" s="437" t="s">
        <v>272</v>
      </c>
      <c r="C27" s="68"/>
      <c r="D27" s="69"/>
      <c r="E27" s="127"/>
      <c r="F27" s="127"/>
      <c r="G27" s="127"/>
      <c r="H27" s="406"/>
      <c r="I27" s="53"/>
      <c r="J27" s="69"/>
    </row>
    <row r="28" spans="1:12">
      <c r="A28" s="56"/>
      <c r="B28" s="56" t="s">
        <v>274</v>
      </c>
      <c r="C28" s="57">
        <v>220</v>
      </c>
      <c r="D28" s="57" t="s">
        <v>250</v>
      </c>
      <c r="E28" s="415">
        <v>2141</v>
      </c>
      <c r="F28" s="415">
        <f>+E28*C28</f>
        <v>471020</v>
      </c>
      <c r="G28" s="415">
        <v>485</v>
      </c>
      <c r="H28" s="415">
        <f>+G28*C28</f>
        <v>106700</v>
      </c>
      <c r="I28" s="416">
        <f>+H28+F28</f>
        <v>577720</v>
      </c>
      <c r="J28" s="55"/>
    </row>
    <row r="29" spans="1:12">
      <c r="A29" s="57"/>
      <c r="B29" s="431" t="s">
        <v>262</v>
      </c>
      <c r="C29" s="86">
        <v>2475</v>
      </c>
      <c r="D29" s="57" t="s">
        <v>117</v>
      </c>
      <c r="E29" s="415">
        <v>200</v>
      </c>
      <c r="F29" s="415">
        <f>+E29*C29</f>
        <v>495000</v>
      </c>
      <c r="G29" s="415">
        <v>133</v>
      </c>
      <c r="H29" s="415">
        <f>+G29*C29</f>
        <v>329175</v>
      </c>
      <c r="I29" s="416">
        <f>+H29+F29</f>
        <v>824175</v>
      </c>
      <c r="J29" s="55"/>
    </row>
    <row r="30" spans="1:12" s="28" customFormat="1">
      <c r="A30" s="56"/>
      <c r="B30" s="431" t="s">
        <v>264</v>
      </c>
      <c r="C30" s="86"/>
      <c r="D30" s="57"/>
      <c r="E30" s="415"/>
      <c r="F30" s="415"/>
      <c r="G30" s="415"/>
      <c r="H30" s="415"/>
      <c r="I30" s="416"/>
      <c r="J30" s="55"/>
      <c r="L30" s="27"/>
    </row>
    <row r="31" spans="1:12">
      <c r="A31" s="56"/>
      <c r="B31" s="56" t="s">
        <v>275</v>
      </c>
      <c r="C31" s="57">
        <v>3.84</v>
      </c>
      <c r="D31" s="57" t="s">
        <v>266</v>
      </c>
      <c r="E31" s="415">
        <v>21981</v>
      </c>
      <c r="F31" s="415">
        <f>+E31*C31</f>
        <v>84407.039999999994</v>
      </c>
      <c r="G31" s="415">
        <v>4100</v>
      </c>
      <c r="H31" s="415">
        <f>+G31*C31</f>
        <v>15744</v>
      </c>
      <c r="I31" s="416">
        <f>+H31+F31</f>
        <v>100151.03999999999</v>
      </c>
      <c r="J31" s="55"/>
    </row>
    <row r="32" spans="1:12">
      <c r="A32" s="56"/>
      <c r="B32" s="56" t="s">
        <v>265</v>
      </c>
      <c r="C32" s="57">
        <v>7.01</v>
      </c>
      <c r="D32" s="57" t="s">
        <v>266</v>
      </c>
      <c r="E32" s="415">
        <v>21379</v>
      </c>
      <c r="F32" s="415">
        <f>+E32*C32</f>
        <v>149866.79</v>
      </c>
      <c r="G32" s="415">
        <v>4100</v>
      </c>
      <c r="H32" s="415">
        <f>+G32*C32</f>
        <v>28741</v>
      </c>
      <c r="I32" s="416">
        <f>+H32+F32</f>
        <v>178607.79</v>
      </c>
      <c r="J32" s="55"/>
    </row>
    <row r="33" spans="1:11">
      <c r="A33" s="56"/>
      <c r="B33" s="56" t="s">
        <v>267</v>
      </c>
      <c r="C33" s="57">
        <v>5.23</v>
      </c>
      <c r="D33" s="57" t="s">
        <v>266</v>
      </c>
      <c r="E33" s="415">
        <v>21307</v>
      </c>
      <c r="F33" s="415">
        <f t="shared" ref="F33:F34" si="6">+E33*C33</f>
        <v>111435.61000000002</v>
      </c>
      <c r="G33" s="415">
        <v>3300</v>
      </c>
      <c r="H33" s="415">
        <f t="shared" ref="H33:H34" si="7">+G33*C33</f>
        <v>17259</v>
      </c>
      <c r="I33" s="416">
        <f t="shared" ref="I33:I34" si="8">+H33+F33</f>
        <v>128694.61000000002</v>
      </c>
      <c r="J33" s="55"/>
    </row>
    <row r="34" spans="1:11">
      <c r="A34" s="56"/>
      <c r="B34" s="56" t="s">
        <v>268</v>
      </c>
      <c r="C34" s="57">
        <v>8.82</v>
      </c>
      <c r="D34" s="57" t="s">
        <v>266</v>
      </c>
      <c r="E34" s="415">
        <v>21541</v>
      </c>
      <c r="F34" s="415">
        <f t="shared" si="6"/>
        <v>189991.62</v>
      </c>
      <c r="G34" s="415">
        <v>3300</v>
      </c>
      <c r="H34" s="415">
        <f t="shared" si="7"/>
        <v>29106</v>
      </c>
      <c r="I34" s="416">
        <f t="shared" si="8"/>
        <v>219097.62</v>
      </c>
      <c r="J34" s="55"/>
    </row>
    <row r="35" spans="1:11">
      <c r="A35" s="56"/>
      <c r="B35" s="56" t="s">
        <v>276</v>
      </c>
      <c r="C35" s="57">
        <v>1.53</v>
      </c>
      <c r="D35" s="57" t="s">
        <v>266</v>
      </c>
      <c r="E35" s="415">
        <v>21425</v>
      </c>
      <c r="F35" s="415">
        <f t="shared" ref="F35:F36" si="9">+E35*C35</f>
        <v>32780.25</v>
      </c>
      <c r="G35" s="415">
        <v>2900</v>
      </c>
      <c r="H35" s="415">
        <f t="shared" ref="H35:H36" si="10">+G35*C35</f>
        <v>4437</v>
      </c>
      <c r="I35" s="416">
        <f t="shared" ref="I35:I36" si="11">+H35+F35</f>
        <v>37217.25</v>
      </c>
      <c r="J35" s="55"/>
    </row>
    <row r="36" spans="1:11">
      <c r="A36" s="56"/>
      <c r="B36" s="421" t="s">
        <v>277</v>
      </c>
      <c r="C36" s="57">
        <v>786</v>
      </c>
      <c r="D36" s="57" t="s">
        <v>117</v>
      </c>
      <c r="E36" s="415">
        <v>250</v>
      </c>
      <c r="F36" s="415">
        <f t="shared" si="9"/>
        <v>196500</v>
      </c>
      <c r="G36" s="415">
        <v>25</v>
      </c>
      <c r="H36" s="415">
        <f t="shared" si="10"/>
        <v>19650</v>
      </c>
      <c r="I36" s="416">
        <f t="shared" si="11"/>
        <v>216150</v>
      </c>
      <c r="J36" s="55"/>
    </row>
    <row r="37" spans="1:11">
      <c r="A37" s="56"/>
      <c r="B37" s="56" t="s">
        <v>278</v>
      </c>
      <c r="C37" s="57"/>
      <c r="D37" s="57"/>
      <c r="E37" s="415"/>
      <c r="F37" s="415"/>
      <c r="G37" s="415"/>
      <c r="H37" s="415"/>
      <c r="I37" s="416"/>
      <c r="J37" s="55"/>
    </row>
    <row r="38" spans="1:11">
      <c r="A38" s="56"/>
      <c r="B38" s="56" t="s">
        <v>279</v>
      </c>
      <c r="C38" s="57">
        <v>786</v>
      </c>
      <c r="D38" s="57" t="s">
        <v>117</v>
      </c>
      <c r="E38" s="415">
        <v>47</v>
      </c>
      <c r="F38" s="415">
        <f t="shared" ref="F38" si="12">+E38*C38</f>
        <v>36942</v>
      </c>
      <c r="G38" s="415">
        <v>5</v>
      </c>
      <c r="H38" s="415">
        <f t="shared" ref="H38" si="13">+G38*C38</f>
        <v>3930</v>
      </c>
      <c r="I38" s="416">
        <f t="shared" ref="I38" si="14">+H38+F38</f>
        <v>40872</v>
      </c>
      <c r="J38" s="55"/>
    </row>
    <row r="39" spans="1:11">
      <c r="A39" s="56"/>
      <c r="B39" s="56" t="s">
        <v>280</v>
      </c>
      <c r="C39" s="57">
        <v>42</v>
      </c>
      <c r="D39" s="57" t="s">
        <v>250</v>
      </c>
      <c r="E39" s="415">
        <v>2141</v>
      </c>
      <c r="F39" s="415">
        <f>+E39*C39</f>
        <v>89922</v>
      </c>
      <c r="G39" s="415">
        <v>485</v>
      </c>
      <c r="H39" s="415">
        <f>+G39*C39</f>
        <v>20370</v>
      </c>
      <c r="I39" s="416">
        <f>+H39+F39</f>
        <v>110292</v>
      </c>
      <c r="J39" s="55"/>
    </row>
    <row r="40" spans="1:11">
      <c r="A40" s="57"/>
      <c r="B40" s="56" t="s">
        <v>269</v>
      </c>
      <c r="C40" s="57">
        <v>795</v>
      </c>
      <c r="D40" s="57" t="s">
        <v>270</v>
      </c>
      <c r="E40" s="415">
        <v>31</v>
      </c>
      <c r="F40" s="415">
        <f t="shared" ref="F40:F41" si="15">+E40*C40</f>
        <v>24645</v>
      </c>
      <c r="G40" s="414">
        <v>0</v>
      </c>
      <c r="H40" s="414">
        <f t="shared" ref="H40:H41" si="16">+G40*C40</f>
        <v>0</v>
      </c>
      <c r="I40" s="416">
        <f t="shared" ref="I40:I41" si="17">+H40+F40</f>
        <v>24645</v>
      </c>
      <c r="J40" s="55"/>
      <c r="K40" s="61"/>
    </row>
    <row r="41" spans="1:11">
      <c r="A41" s="424"/>
      <c r="B41" s="56" t="s">
        <v>271</v>
      </c>
      <c r="C41" s="57">
        <v>620</v>
      </c>
      <c r="D41" s="57" t="s">
        <v>270</v>
      </c>
      <c r="E41" s="415">
        <v>47</v>
      </c>
      <c r="F41" s="415">
        <f t="shared" si="15"/>
        <v>29140</v>
      </c>
      <c r="G41" s="414">
        <v>0</v>
      </c>
      <c r="H41" s="414">
        <f t="shared" si="16"/>
        <v>0</v>
      </c>
      <c r="I41" s="416">
        <f t="shared" si="17"/>
        <v>29140</v>
      </c>
      <c r="J41" s="55"/>
      <c r="K41" s="61"/>
    </row>
    <row r="42" spans="1:11">
      <c r="A42" s="424"/>
      <c r="B42" s="413"/>
      <c r="C42" s="438"/>
      <c r="D42" s="439"/>
      <c r="E42" s="440"/>
      <c r="F42" s="441"/>
      <c r="G42" s="442"/>
      <c r="H42" s="442"/>
      <c r="I42" s="193"/>
      <c r="J42" s="55"/>
      <c r="K42" s="61"/>
    </row>
    <row r="43" spans="1:11">
      <c r="A43" s="432"/>
      <c r="B43" s="443"/>
      <c r="C43" s="86"/>
      <c r="D43" s="57"/>
      <c r="E43" s="60"/>
      <c r="F43" s="60"/>
      <c r="G43" s="60"/>
      <c r="H43" s="60"/>
      <c r="I43" s="193"/>
      <c r="J43" s="55"/>
      <c r="K43" s="61"/>
    </row>
    <row r="44" spans="1:11">
      <c r="A44" s="432"/>
      <c r="B44" s="57" t="s">
        <v>18</v>
      </c>
      <c r="C44" s="86"/>
      <c r="D44" s="57"/>
      <c r="E44" s="59"/>
      <c r="F44" s="433">
        <f>SUM(F28:F43)</f>
        <v>1911650.31</v>
      </c>
      <c r="G44" s="434"/>
      <c r="H44" s="433">
        <f>SUM(H28:H43)</f>
        <v>575112</v>
      </c>
      <c r="I44" s="416"/>
      <c r="J44" s="55"/>
      <c r="K44" s="61">
        <f>+H44+F44</f>
        <v>2486762.31</v>
      </c>
    </row>
    <row r="45" spans="1:11">
      <c r="A45" s="432"/>
      <c r="B45" s="412" t="s">
        <v>80</v>
      </c>
      <c r="C45" s="86"/>
      <c r="D45" s="57"/>
      <c r="E45" s="59"/>
      <c r="F45" s="415"/>
      <c r="G45" s="434"/>
      <c r="H45" s="435"/>
      <c r="I45" s="436">
        <f>SUM(I28:I43)</f>
        <v>2486762.31</v>
      </c>
      <c r="J45" s="55"/>
      <c r="K45" s="61"/>
    </row>
    <row r="46" spans="1:11">
      <c r="A46" s="410"/>
      <c r="B46" s="437" t="s">
        <v>281</v>
      </c>
      <c r="C46" s="68"/>
      <c r="D46" s="69"/>
      <c r="E46" s="127"/>
      <c r="F46" s="127"/>
      <c r="G46" s="127"/>
      <c r="H46" s="406"/>
      <c r="I46" s="53"/>
      <c r="J46" s="69"/>
    </row>
    <row r="47" spans="1:11">
      <c r="A47" s="444"/>
      <c r="B47" s="56" t="s">
        <v>293</v>
      </c>
      <c r="C47" s="57">
        <v>767</v>
      </c>
      <c r="D47" s="57" t="s">
        <v>270</v>
      </c>
      <c r="E47" s="415">
        <v>21</v>
      </c>
      <c r="F47" s="415">
        <f t="shared" ref="F47:F54" si="18">+E47*C47</f>
        <v>16107</v>
      </c>
      <c r="G47" s="414">
        <v>0</v>
      </c>
      <c r="H47" s="414">
        <f t="shared" ref="H47" si="19">+G47*C47</f>
        <v>0</v>
      </c>
      <c r="I47" s="416">
        <f t="shared" ref="I47" si="20">+H47+F47</f>
        <v>16107</v>
      </c>
      <c r="J47" s="55"/>
    </row>
    <row r="48" spans="1:11">
      <c r="A48" s="412"/>
      <c r="B48" s="56" t="s">
        <v>284</v>
      </c>
      <c r="C48" s="57">
        <v>177</v>
      </c>
      <c r="D48" s="57" t="s">
        <v>270</v>
      </c>
      <c r="E48" s="415">
        <v>21</v>
      </c>
      <c r="F48" s="415">
        <f t="shared" si="18"/>
        <v>3717</v>
      </c>
      <c r="G48" s="414">
        <v>0</v>
      </c>
      <c r="H48" s="414">
        <f t="shared" ref="H48" si="21">+G48*C48</f>
        <v>0</v>
      </c>
      <c r="I48" s="416">
        <f t="shared" ref="I48" si="22">+H48+F48</f>
        <v>3717</v>
      </c>
      <c r="J48" s="55"/>
    </row>
    <row r="49" spans="1:16">
      <c r="A49" s="412"/>
      <c r="B49" s="56" t="s">
        <v>285</v>
      </c>
      <c r="C49" s="86">
        <f>2962+36</f>
        <v>2998</v>
      </c>
      <c r="D49" s="57" t="s">
        <v>270</v>
      </c>
      <c r="E49" s="415">
        <v>21</v>
      </c>
      <c r="F49" s="415">
        <f t="shared" si="18"/>
        <v>62958</v>
      </c>
      <c r="G49" s="414">
        <v>0</v>
      </c>
      <c r="H49" s="414">
        <f t="shared" ref="H49" si="23">+G49*C49</f>
        <v>0</v>
      </c>
      <c r="I49" s="416">
        <f t="shared" ref="I49" si="24">+H49+F49</f>
        <v>62958</v>
      </c>
      <c r="J49" s="55"/>
    </row>
    <row r="50" spans="1:16">
      <c r="A50" s="412"/>
      <c r="B50" s="56" t="s">
        <v>282</v>
      </c>
      <c r="C50" s="57">
        <f>143+130+620</f>
        <v>893</v>
      </c>
      <c r="D50" s="57" t="s">
        <v>270</v>
      </c>
      <c r="E50" s="415">
        <v>21</v>
      </c>
      <c r="F50" s="415">
        <f t="shared" si="18"/>
        <v>18753</v>
      </c>
      <c r="G50" s="414">
        <v>0</v>
      </c>
      <c r="H50" s="414">
        <f t="shared" ref="H50" si="25">+G50*C50</f>
        <v>0</v>
      </c>
      <c r="I50" s="416">
        <f t="shared" ref="I50" si="26">+H50+F50</f>
        <v>18753</v>
      </c>
      <c r="J50" s="55"/>
    </row>
    <row r="51" spans="1:16" s="445" customFormat="1">
      <c r="A51" s="412"/>
      <c r="B51" s="56" t="s">
        <v>283</v>
      </c>
      <c r="C51" s="86">
        <v>3422</v>
      </c>
      <c r="D51" s="57" t="s">
        <v>270</v>
      </c>
      <c r="E51" s="415">
        <v>21</v>
      </c>
      <c r="F51" s="415">
        <f t="shared" si="18"/>
        <v>71862</v>
      </c>
      <c r="G51" s="414">
        <v>0</v>
      </c>
      <c r="H51" s="414">
        <f t="shared" ref="H51" si="27">+G51*C51</f>
        <v>0</v>
      </c>
      <c r="I51" s="416">
        <f t="shared" ref="I51" si="28">+H51+F51</f>
        <v>71862</v>
      </c>
      <c r="J51" s="55"/>
      <c r="L51" s="446"/>
    </row>
    <row r="52" spans="1:16" s="445" customFormat="1">
      <c r="A52" s="412"/>
      <c r="B52" s="56" t="s">
        <v>286</v>
      </c>
      <c r="C52" s="57">
        <f>11+12</f>
        <v>23</v>
      </c>
      <c r="D52" s="57" t="s">
        <v>270</v>
      </c>
      <c r="E52" s="415">
        <v>21</v>
      </c>
      <c r="F52" s="415">
        <f t="shared" si="18"/>
        <v>483</v>
      </c>
      <c r="G52" s="414">
        <v>0</v>
      </c>
      <c r="H52" s="414">
        <f t="shared" ref="H52:H54" si="29">+G52*C52</f>
        <v>0</v>
      </c>
      <c r="I52" s="416">
        <f t="shared" ref="I52:I54" si="30">+H52+F52</f>
        <v>483</v>
      </c>
      <c r="J52" s="55"/>
      <c r="L52" s="446"/>
    </row>
    <row r="53" spans="1:16" s="445" customFormat="1">
      <c r="A53" s="412"/>
      <c r="B53" s="56" t="s">
        <v>291</v>
      </c>
      <c r="C53" s="57">
        <v>2</v>
      </c>
      <c r="D53" s="57" t="s">
        <v>119</v>
      </c>
      <c r="E53" s="415">
        <v>830</v>
      </c>
      <c r="F53" s="415">
        <f t="shared" si="18"/>
        <v>1660</v>
      </c>
      <c r="G53" s="414">
        <v>0</v>
      </c>
      <c r="H53" s="414">
        <f t="shared" si="29"/>
        <v>0</v>
      </c>
      <c r="I53" s="416">
        <f t="shared" si="30"/>
        <v>1660</v>
      </c>
      <c r="J53" s="55"/>
      <c r="K53" s="445">
        <f>0.25*0.25*8*7.85*50</f>
        <v>196.25</v>
      </c>
      <c r="L53" s="446">
        <f>1.58*0.5*100</f>
        <v>79</v>
      </c>
      <c r="M53" s="445">
        <f>+L53*8</f>
        <v>632</v>
      </c>
      <c r="N53" s="445">
        <f>+K53+M53</f>
        <v>828.25</v>
      </c>
    </row>
    <row r="54" spans="1:16" s="445" customFormat="1">
      <c r="A54" s="412"/>
      <c r="B54" s="56" t="s">
        <v>290</v>
      </c>
      <c r="C54" s="57">
        <v>30</v>
      </c>
      <c r="D54" s="57" t="s">
        <v>119</v>
      </c>
      <c r="E54" s="415">
        <v>510</v>
      </c>
      <c r="F54" s="415">
        <f t="shared" si="18"/>
        <v>15300</v>
      </c>
      <c r="G54" s="414">
        <v>0</v>
      </c>
      <c r="H54" s="414">
        <f t="shared" si="29"/>
        <v>0</v>
      </c>
      <c r="I54" s="416">
        <f t="shared" si="30"/>
        <v>15300</v>
      </c>
      <c r="J54" s="55"/>
      <c r="K54" s="445">
        <f>0.2*0.2*8*7.85*50</f>
        <v>125.60000000000002</v>
      </c>
      <c r="L54" s="446">
        <f>1.58*0.5*100</f>
        <v>79</v>
      </c>
      <c r="M54" s="445">
        <f>+L54*4</f>
        <v>316</v>
      </c>
      <c r="N54" s="445">
        <f>+M54+K54</f>
        <v>441.6</v>
      </c>
      <c r="O54" s="445">
        <f>0.1*0.2*8*7.85*50</f>
        <v>62.800000000000011</v>
      </c>
      <c r="P54" s="445">
        <f>+O54+N54</f>
        <v>504.40000000000003</v>
      </c>
    </row>
    <row r="55" spans="1:16" s="445" customFormat="1">
      <c r="A55" s="412"/>
      <c r="B55" s="56" t="s">
        <v>289</v>
      </c>
      <c r="C55" s="57"/>
      <c r="D55" s="57"/>
      <c r="E55" s="415"/>
      <c r="F55" s="415"/>
      <c r="G55" s="414"/>
      <c r="H55" s="414"/>
      <c r="I55" s="416"/>
      <c r="J55" s="55"/>
      <c r="L55" s="446"/>
    </row>
    <row r="56" spans="1:16" s="445" customFormat="1">
      <c r="A56" s="412"/>
      <c r="B56" s="56" t="s">
        <v>292</v>
      </c>
      <c r="C56" s="57">
        <v>4</v>
      </c>
      <c r="D56" s="57" t="s">
        <v>119</v>
      </c>
      <c r="E56" s="415">
        <v>130</v>
      </c>
      <c r="F56" s="415">
        <f>+E56*C56</f>
        <v>520</v>
      </c>
      <c r="G56" s="414">
        <v>0</v>
      </c>
      <c r="H56" s="414">
        <f t="shared" ref="H56" si="31">+G56*C56</f>
        <v>0</v>
      </c>
      <c r="I56" s="416">
        <f t="shared" ref="I56" si="32">+H56+F56</f>
        <v>520</v>
      </c>
      <c r="J56" s="55"/>
      <c r="K56" s="445">
        <f>0.2*0.2*8*7.85*50</f>
        <v>125.60000000000002</v>
      </c>
      <c r="L56" s="446"/>
    </row>
    <row r="57" spans="1:16" s="445" customFormat="1">
      <c r="A57" s="412"/>
      <c r="B57" s="56" t="s">
        <v>287</v>
      </c>
      <c r="C57" s="57">
        <v>13</v>
      </c>
      <c r="D57" s="57" t="s">
        <v>119</v>
      </c>
      <c r="E57" s="415">
        <v>70</v>
      </c>
      <c r="F57" s="415">
        <f>+E57*C57</f>
        <v>910</v>
      </c>
      <c r="G57" s="414">
        <v>0</v>
      </c>
      <c r="H57" s="414">
        <f t="shared" ref="H57" si="33">+G57*C57</f>
        <v>0</v>
      </c>
      <c r="I57" s="416">
        <f t="shared" ref="I57" si="34">+H57+F57</f>
        <v>910</v>
      </c>
      <c r="J57" s="55"/>
      <c r="K57" s="445">
        <f>0.2*0.1*8*7.85*50</f>
        <v>62.800000000000011</v>
      </c>
      <c r="L57" s="446"/>
    </row>
    <row r="58" spans="1:16">
      <c r="A58" s="57"/>
      <c r="B58" s="56" t="s">
        <v>288</v>
      </c>
      <c r="C58" s="57">
        <v>1</v>
      </c>
      <c r="D58" s="57" t="s">
        <v>19</v>
      </c>
      <c r="E58" s="415">
        <v>5000</v>
      </c>
      <c r="F58" s="415">
        <f>+E58*C58</f>
        <v>5000</v>
      </c>
      <c r="G58" s="418" t="s">
        <v>258</v>
      </c>
      <c r="H58" s="419" t="s">
        <v>259</v>
      </c>
      <c r="I58" s="416">
        <f>+F58</f>
        <v>5000</v>
      </c>
      <c r="J58" s="55"/>
      <c r="K58" s="10">
        <v>12</v>
      </c>
      <c r="L58" s="8">
        <f>5000/K58</f>
        <v>416.66666666666669</v>
      </c>
    </row>
    <row r="59" spans="1:16">
      <c r="A59" s="56"/>
      <c r="B59" s="56" t="s">
        <v>294</v>
      </c>
      <c r="C59" s="86">
        <v>8280</v>
      </c>
      <c r="D59" s="57" t="s">
        <v>270</v>
      </c>
      <c r="E59" s="447">
        <v>0</v>
      </c>
      <c r="F59" s="447">
        <f>+E59*C59</f>
        <v>0</v>
      </c>
      <c r="G59" s="415">
        <v>12</v>
      </c>
      <c r="H59" s="415">
        <f>+G59*C59</f>
        <v>99360</v>
      </c>
      <c r="I59" s="416">
        <f>+H59+F59</f>
        <v>99360</v>
      </c>
      <c r="J59" s="55"/>
      <c r="K59" s="448">
        <f>+C47+C48+C49+C50+C51+C52</f>
        <v>8280</v>
      </c>
    </row>
    <row r="60" spans="1:16">
      <c r="A60" s="57"/>
      <c r="B60" s="431" t="s">
        <v>295</v>
      </c>
      <c r="C60" s="86">
        <v>587</v>
      </c>
      <c r="D60" s="57" t="s">
        <v>117</v>
      </c>
      <c r="E60" s="415">
        <v>150</v>
      </c>
      <c r="F60" s="415">
        <f>+E60*C60</f>
        <v>88050</v>
      </c>
      <c r="G60" s="449" t="s">
        <v>258</v>
      </c>
      <c r="H60" s="420" t="s">
        <v>259</v>
      </c>
      <c r="I60" s="428">
        <f>SUM(F60)</f>
        <v>88050</v>
      </c>
      <c r="J60" s="55"/>
      <c r="K60" s="10">
        <f>6+395+5.5+26+4+120+2+28</f>
        <v>586.5</v>
      </c>
    </row>
    <row r="61" spans="1:16" s="445" customFormat="1">
      <c r="A61" s="56"/>
      <c r="B61" s="431"/>
      <c r="C61" s="86"/>
      <c r="D61" s="57"/>
      <c r="E61" s="60"/>
      <c r="F61" s="60"/>
      <c r="G61" s="60"/>
      <c r="H61" s="60"/>
      <c r="I61" s="193"/>
      <c r="J61" s="55"/>
      <c r="L61" s="446"/>
    </row>
    <row r="62" spans="1:16">
      <c r="A62" s="56"/>
      <c r="B62" s="56"/>
      <c r="C62" s="57"/>
      <c r="D62" s="57"/>
      <c r="E62" s="60"/>
      <c r="F62" s="60"/>
      <c r="G62" s="60"/>
      <c r="H62" s="60"/>
      <c r="I62" s="193"/>
      <c r="J62" s="55"/>
    </row>
    <row r="63" spans="1:16">
      <c r="A63" s="432"/>
      <c r="B63" s="57" t="s">
        <v>18</v>
      </c>
      <c r="C63" s="86"/>
      <c r="D63" s="57"/>
      <c r="E63" s="59"/>
      <c r="F63" s="433">
        <f>SUM(F47:F62)</f>
        <v>285320</v>
      </c>
      <c r="G63" s="434"/>
      <c r="H63" s="433">
        <f>SUM(H47:H62)</f>
        <v>99360</v>
      </c>
      <c r="I63" s="416"/>
      <c r="J63" s="55"/>
      <c r="K63" s="61">
        <f>+H63+F63</f>
        <v>384680</v>
      </c>
    </row>
    <row r="64" spans="1:16">
      <c r="A64" s="432"/>
      <c r="B64" s="412" t="s">
        <v>80</v>
      </c>
      <c r="C64" s="86"/>
      <c r="D64" s="57"/>
      <c r="E64" s="59"/>
      <c r="F64" s="415"/>
      <c r="G64" s="434"/>
      <c r="H64" s="435"/>
      <c r="I64" s="436">
        <f>SUM(I47:I62)</f>
        <v>384680</v>
      </c>
      <c r="J64" s="55"/>
      <c r="K64" s="61"/>
    </row>
    <row r="65" spans="1:12">
      <c r="A65" s="450"/>
      <c r="B65" s="437" t="s">
        <v>273</v>
      </c>
      <c r="C65" s="68"/>
      <c r="D65" s="69"/>
      <c r="E65" s="127"/>
      <c r="F65" s="127"/>
      <c r="G65" s="127"/>
      <c r="H65" s="406"/>
      <c r="I65" s="53"/>
      <c r="J65" s="69"/>
      <c r="K65" s="61">
        <f>K63+K44+K25</f>
        <v>4159447.2800000003</v>
      </c>
    </row>
    <row r="66" spans="1:12">
      <c r="A66" s="412"/>
      <c r="B66" s="56" t="s">
        <v>442</v>
      </c>
      <c r="C66" s="57">
        <v>897</v>
      </c>
      <c r="D66" s="57" t="s">
        <v>117</v>
      </c>
      <c r="E66" s="415">
        <v>335</v>
      </c>
      <c r="F66" s="415">
        <f>SUM(C66*E66)</f>
        <v>300495</v>
      </c>
      <c r="G66" s="415">
        <v>70</v>
      </c>
      <c r="H66" s="415">
        <f>SUM(C66*G66)</f>
        <v>62790</v>
      </c>
      <c r="I66" s="416">
        <f>SUM(F66+H66)</f>
        <v>363285</v>
      </c>
      <c r="J66" s="55"/>
      <c r="L66" s="8">
        <f>790-70</f>
        <v>720</v>
      </c>
    </row>
    <row r="67" spans="1:12">
      <c r="A67" s="57"/>
      <c r="B67" s="56" t="s">
        <v>213</v>
      </c>
      <c r="C67" s="57">
        <v>56</v>
      </c>
      <c r="D67" s="57" t="s">
        <v>211</v>
      </c>
      <c r="E67" s="415">
        <v>265</v>
      </c>
      <c r="F67" s="415">
        <f>SUM(C67*E67)</f>
        <v>14840</v>
      </c>
      <c r="G67" s="415">
        <v>50</v>
      </c>
      <c r="H67" s="415">
        <f>SUM(C67*G67)</f>
        <v>2800</v>
      </c>
      <c r="I67" s="416">
        <f>SUM(F67+H67)</f>
        <v>17640</v>
      </c>
      <c r="J67" s="55"/>
    </row>
    <row r="68" spans="1:12">
      <c r="A68" s="56"/>
      <c r="B68" s="56" t="s">
        <v>214</v>
      </c>
      <c r="C68" s="57">
        <v>60</v>
      </c>
      <c r="D68" s="57" t="s">
        <v>211</v>
      </c>
      <c r="E68" s="415">
        <v>265</v>
      </c>
      <c r="F68" s="415">
        <f>SUM(C68*E68)</f>
        <v>15900</v>
      </c>
      <c r="G68" s="415">
        <v>50</v>
      </c>
      <c r="H68" s="415">
        <f>SUM(C68*G68)</f>
        <v>3000</v>
      </c>
      <c r="I68" s="416">
        <f>SUM(F68+H68)</f>
        <v>18900</v>
      </c>
      <c r="J68" s="55"/>
    </row>
    <row r="69" spans="1:12">
      <c r="A69" s="57"/>
      <c r="B69" s="443" t="s">
        <v>694</v>
      </c>
      <c r="C69" s="86">
        <v>897</v>
      </c>
      <c r="D69" s="57" t="s">
        <v>117</v>
      </c>
      <c r="E69" s="415">
        <v>70</v>
      </c>
      <c r="F69" s="415">
        <f>SUM(C69*E69)</f>
        <v>62790</v>
      </c>
      <c r="G69" s="449" t="s">
        <v>258</v>
      </c>
      <c r="H69" s="420" t="s">
        <v>259</v>
      </c>
      <c r="I69" s="416">
        <f>+F69</f>
        <v>62790</v>
      </c>
      <c r="J69" s="55"/>
    </row>
    <row r="70" spans="1:12" s="28" customFormat="1">
      <c r="A70" s="56"/>
      <c r="B70" s="443"/>
      <c r="C70" s="86"/>
      <c r="D70" s="57"/>
      <c r="E70" s="415"/>
      <c r="F70" s="415"/>
      <c r="G70" s="415"/>
      <c r="H70" s="415"/>
      <c r="I70" s="416"/>
      <c r="J70" s="55"/>
      <c r="L70" s="27"/>
    </row>
    <row r="71" spans="1:12">
      <c r="A71" s="56"/>
      <c r="B71" s="56"/>
      <c r="C71" s="57"/>
      <c r="D71" s="57"/>
      <c r="E71" s="415"/>
      <c r="F71" s="415"/>
      <c r="G71" s="415"/>
      <c r="H71" s="415"/>
      <c r="I71" s="416"/>
      <c r="J71" s="55"/>
    </row>
    <row r="72" spans="1:12">
      <c r="A72" s="56" t="s">
        <v>9</v>
      </c>
      <c r="B72" s="56"/>
      <c r="C72" s="57"/>
      <c r="D72" s="57"/>
      <c r="E72" s="415"/>
      <c r="F72" s="415"/>
      <c r="G72" s="415"/>
      <c r="H72" s="415"/>
      <c r="I72" s="416"/>
      <c r="J72" s="55"/>
    </row>
    <row r="73" spans="1:12">
      <c r="A73" s="56"/>
      <c r="B73" s="56"/>
      <c r="C73" s="57"/>
      <c r="D73" s="57"/>
      <c r="E73" s="415"/>
      <c r="F73" s="415"/>
      <c r="G73" s="415"/>
      <c r="H73" s="415"/>
      <c r="I73" s="416"/>
      <c r="J73" s="55"/>
    </row>
    <row r="74" spans="1:12">
      <c r="A74" s="57"/>
      <c r="B74" s="56"/>
      <c r="C74" s="57"/>
      <c r="D74" s="57"/>
      <c r="E74" s="415"/>
      <c r="F74" s="415"/>
      <c r="G74" s="415"/>
      <c r="H74" s="415"/>
      <c r="I74" s="416"/>
      <c r="J74" s="55"/>
      <c r="K74" s="61"/>
    </row>
    <row r="75" spans="1:12">
      <c r="A75" s="424"/>
      <c r="B75" s="56"/>
      <c r="C75" s="57"/>
      <c r="D75" s="57"/>
      <c r="E75" s="415"/>
      <c r="F75" s="415"/>
      <c r="G75" s="415"/>
      <c r="H75" s="415"/>
      <c r="I75" s="416"/>
      <c r="J75" s="55"/>
      <c r="K75" s="61"/>
    </row>
    <row r="76" spans="1:12">
      <c r="A76" s="424"/>
      <c r="B76" s="56"/>
      <c r="C76" s="57"/>
      <c r="D76" s="57"/>
      <c r="E76" s="415"/>
      <c r="F76" s="415"/>
      <c r="G76" s="415"/>
      <c r="H76" s="415"/>
      <c r="I76" s="416"/>
      <c r="J76" s="55"/>
      <c r="K76" s="61"/>
    </row>
    <row r="77" spans="1:12">
      <c r="A77" s="424"/>
      <c r="B77" s="413"/>
      <c r="C77" s="438"/>
      <c r="D77" s="439"/>
      <c r="E77" s="393"/>
      <c r="F77" s="394"/>
      <c r="G77" s="451"/>
      <c r="H77" s="451"/>
      <c r="I77" s="416"/>
      <c r="J77" s="55"/>
      <c r="K77" s="61"/>
    </row>
    <row r="78" spans="1:12">
      <c r="A78" s="432"/>
      <c r="B78" s="443"/>
      <c r="C78" s="86"/>
      <c r="D78" s="57"/>
      <c r="E78" s="415"/>
      <c r="F78" s="415"/>
      <c r="G78" s="415"/>
      <c r="H78" s="415"/>
      <c r="I78" s="416"/>
      <c r="J78" s="55"/>
      <c r="K78" s="61"/>
    </row>
    <row r="79" spans="1:12">
      <c r="A79" s="432"/>
      <c r="B79" s="443"/>
      <c r="C79" s="86"/>
      <c r="D79" s="57"/>
      <c r="E79" s="415"/>
      <c r="F79" s="415"/>
      <c r="G79" s="452"/>
      <c r="H79" s="415"/>
      <c r="I79" s="416"/>
      <c r="J79" s="55"/>
      <c r="K79" s="61"/>
    </row>
    <row r="80" spans="1:12">
      <c r="A80" s="432"/>
      <c r="B80" s="443"/>
      <c r="C80" s="86"/>
      <c r="D80" s="57"/>
      <c r="E80" s="415"/>
      <c r="F80" s="415"/>
      <c r="G80" s="452"/>
      <c r="H80" s="415"/>
      <c r="I80" s="416"/>
      <c r="J80" s="55"/>
      <c r="K80" s="61"/>
    </row>
    <row r="81" spans="1:12">
      <c r="A81" s="432"/>
      <c r="B81" s="443"/>
      <c r="C81" s="86"/>
      <c r="D81" s="57"/>
      <c r="E81" s="415"/>
      <c r="F81" s="415"/>
      <c r="G81" s="452"/>
      <c r="H81" s="415"/>
      <c r="I81" s="416"/>
      <c r="J81" s="55"/>
      <c r="K81" s="61"/>
    </row>
    <row r="82" spans="1:12">
      <c r="A82" s="432"/>
      <c r="B82" s="57" t="s">
        <v>18</v>
      </c>
      <c r="C82" s="86"/>
      <c r="D82" s="57"/>
      <c r="E82" s="81"/>
      <c r="F82" s="433">
        <f>SUM(F66:F78)</f>
        <v>394025</v>
      </c>
      <c r="G82" s="434"/>
      <c r="H82" s="433">
        <f>SUM(H66:H78)</f>
        <v>68590</v>
      </c>
      <c r="I82" s="416"/>
      <c r="J82" s="55"/>
      <c r="K82" s="61">
        <f>+H82+F82</f>
        <v>462615</v>
      </c>
    </row>
    <row r="83" spans="1:12">
      <c r="A83" s="432"/>
      <c r="B83" s="412" t="s">
        <v>80</v>
      </c>
      <c r="C83" s="86"/>
      <c r="D83" s="57"/>
      <c r="E83" s="81"/>
      <c r="F83" s="415"/>
      <c r="G83" s="434"/>
      <c r="H83" s="435"/>
      <c r="I83" s="436">
        <f>SUM(I66:I78)</f>
        <v>462615</v>
      </c>
      <c r="J83" s="55"/>
      <c r="K83" s="61"/>
    </row>
    <row r="84" spans="1:12" s="28" customFormat="1">
      <c r="A84" s="412"/>
      <c r="B84" s="413" t="s">
        <v>207</v>
      </c>
      <c r="C84" s="438"/>
      <c r="D84" s="439"/>
      <c r="E84" s="440"/>
      <c r="F84" s="441"/>
      <c r="G84" s="442"/>
      <c r="H84" s="442"/>
      <c r="I84" s="193"/>
      <c r="J84" s="55"/>
      <c r="L84" s="27"/>
    </row>
    <row r="85" spans="1:12" s="28" customFormat="1">
      <c r="A85" s="412"/>
      <c r="B85" s="443" t="s">
        <v>215</v>
      </c>
      <c r="C85" s="86">
        <v>470</v>
      </c>
      <c r="D85" s="57" t="s">
        <v>117</v>
      </c>
      <c r="E85" s="415">
        <v>305</v>
      </c>
      <c r="F85" s="415">
        <f>+E85*C85</f>
        <v>143350</v>
      </c>
      <c r="G85" s="415">
        <v>75</v>
      </c>
      <c r="H85" s="415">
        <f>+G85*E85</f>
        <v>22875</v>
      </c>
      <c r="I85" s="416">
        <f>+H85+F85</f>
        <v>166225</v>
      </c>
      <c r="J85" s="55"/>
      <c r="K85" s="453">
        <f>SUM(C85:C88)</f>
        <v>1111</v>
      </c>
      <c r="L85" s="27"/>
    </row>
    <row r="86" spans="1:12" s="28" customFormat="1">
      <c r="A86" s="412"/>
      <c r="B86" s="443" t="s">
        <v>216</v>
      </c>
      <c r="C86" s="86">
        <v>165</v>
      </c>
      <c r="D86" s="57" t="s">
        <v>117</v>
      </c>
      <c r="E86" s="415">
        <v>335</v>
      </c>
      <c r="F86" s="415">
        <f>+E86*C86</f>
        <v>55275</v>
      </c>
      <c r="G86" s="415">
        <v>75</v>
      </c>
      <c r="H86" s="415">
        <f>+G86*E86</f>
        <v>25125</v>
      </c>
      <c r="I86" s="416">
        <f>+H86+F86</f>
        <v>80400</v>
      </c>
      <c r="J86" s="55"/>
      <c r="L86" s="27"/>
    </row>
    <row r="87" spans="1:12">
      <c r="A87" s="412"/>
      <c r="B87" s="443" t="s">
        <v>246</v>
      </c>
      <c r="C87" s="86">
        <v>376</v>
      </c>
      <c r="D87" s="57" t="s">
        <v>117</v>
      </c>
      <c r="E87" s="415">
        <v>510</v>
      </c>
      <c r="F87" s="415">
        <f>+E87*C87</f>
        <v>191760</v>
      </c>
      <c r="G87" s="415">
        <v>75</v>
      </c>
      <c r="H87" s="415">
        <f t="shared" ref="H87:H88" si="35">+G87*E87</f>
        <v>38250</v>
      </c>
      <c r="I87" s="416">
        <f>+H87+F87</f>
        <v>230010</v>
      </c>
      <c r="J87" s="55"/>
    </row>
    <row r="88" spans="1:12">
      <c r="A88" s="412"/>
      <c r="B88" s="443" t="s">
        <v>217</v>
      </c>
      <c r="C88" s="86">
        <v>100</v>
      </c>
      <c r="D88" s="57" t="s">
        <v>117</v>
      </c>
      <c r="E88" s="415">
        <v>90</v>
      </c>
      <c r="F88" s="415">
        <f>+E88*C88</f>
        <v>9000</v>
      </c>
      <c r="G88" s="415">
        <v>82</v>
      </c>
      <c r="H88" s="415">
        <f t="shared" si="35"/>
        <v>7380</v>
      </c>
      <c r="I88" s="416">
        <f>+H88+F88</f>
        <v>16380</v>
      </c>
      <c r="J88" s="55"/>
    </row>
    <row r="89" spans="1:12">
      <c r="A89" s="412"/>
      <c r="B89" s="443"/>
      <c r="C89" s="86"/>
      <c r="D89" s="57"/>
      <c r="E89" s="415"/>
      <c r="F89" s="415"/>
      <c r="G89" s="415"/>
      <c r="H89" s="415"/>
      <c r="I89" s="416"/>
      <c r="J89" s="55"/>
    </row>
    <row r="90" spans="1:12" s="28" customFormat="1">
      <c r="A90" s="412"/>
      <c r="B90" s="413" t="s">
        <v>208</v>
      </c>
      <c r="C90" s="86"/>
      <c r="D90" s="57"/>
      <c r="E90" s="415"/>
      <c r="F90" s="415"/>
      <c r="G90" s="415"/>
      <c r="H90" s="415"/>
      <c r="I90" s="416"/>
      <c r="J90" s="55"/>
      <c r="L90" s="27"/>
    </row>
    <row r="91" spans="1:12" s="28" customFormat="1">
      <c r="A91" s="412"/>
      <c r="B91" s="443" t="s">
        <v>218</v>
      </c>
      <c r="C91" s="86">
        <v>1780</v>
      </c>
      <c r="D91" s="57" t="s">
        <v>117</v>
      </c>
      <c r="E91" s="415">
        <v>250</v>
      </c>
      <c r="F91" s="415">
        <f>+E91*C91</f>
        <v>445000</v>
      </c>
      <c r="G91" s="415">
        <v>56</v>
      </c>
      <c r="H91" s="415">
        <f>+G91*C91</f>
        <v>99680</v>
      </c>
      <c r="I91" s="416">
        <f>+H91+F91</f>
        <v>544680</v>
      </c>
      <c r="J91" s="55"/>
      <c r="K91" s="28">
        <f>20*8.33</f>
        <v>166.6</v>
      </c>
      <c r="L91" s="27">
        <f>+K91+80</f>
        <v>246.6</v>
      </c>
    </row>
    <row r="92" spans="1:12">
      <c r="A92" s="432"/>
      <c r="B92" s="443" t="s">
        <v>219</v>
      </c>
      <c r="C92" s="86">
        <v>1015</v>
      </c>
      <c r="D92" s="57" t="s">
        <v>117</v>
      </c>
      <c r="E92" s="415">
        <v>90</v>
      </c>
      <c r="F92" s="415">
        <f t="shared" ref="F92:F97" si="36">+E92*C92</f>
        <v>91350</v>
      </c>
      <c r="G92" s="415">
        <v>95</v>
      </c>
      <c r="H92" s="415">
        <f t="shared" ref="H92:H96" si="37">+G92*C92</f>
        <v>96425</v>
      </c>
      <c r="I92" s="416">
        <f t="shared" ref="I92:I97" si="38">+H92+F92</f>
        <v>187775</v>
      </c>
      <c r="J92" s="55"/>
      <c r="K92" s="61"/>
    </row>
    <row r="93" spans="1:12">
      <c r="A93" s="432"/>
      <c r="B93" s="56" t="s">
        <v>220</v>
      </c>
      <c r="C93" s="86">
        <v>2710</v>
      </c>
      <c r="D93" s="57" t="s">
        <v>117</v>
      </c>
      <c r="E93" s="415">
        <v>90</v>
      </c>
      <c r="F93" s="415">
        <f t="shared" si="36"/>
        <v>243900</v>
      </c>
      <c r="G93" s="415">
        <v>82</v>
      </c>
      <c r="H93" s="415">
        <f t="shared" si="37"/>
        <v>222220</v>
      </c>
      <c r="I93" s="416">
        <f t="shared" si="38"/>
        <v>466120</v>
      </c>
      <c r="J93" s="55"/>
      <c r="K93" s="61"/>
    </row>
    <row r="94" spans="1:12">
      <c r="A94" s="432"/>
      <c r="B94" s="56" t="s">
        <v>221</v>
      </c>
      <c r="C94" s="86">
        <v>313</v>
      </c>
      <c r="D94" s="57" t="s">
        <v>117</v>
      </c>
      <c r="E94" s="415">
        <v>300</v>
      </c>
      <c r="F94" s="415">
        <f t="shared" si="36"/>
        <v>93900</v>
      </c>
      <c r="G94" s="415">
        <v>181</v>
      </c>
      <c r="H94" s="415">
        <f t="shared" si="37"/>
        <v>56653</v>
      </c>
      <c r="I94" s="416">
        <f t="shared" si="38"/>
        <v>150553</v>
      </c>
      <c r="J94" s="55"/>
      <c r="K94" s="61"/>
    </row>
    <row r="95" spans="1:12">
      <c r="A95" s="190"/>
      <c r="B95" s="56" t="s">
        <v>247</v>
      </c>
      <c r="C95" s="86">
        <v>70</v>
      </c>
      <c r="D95" s="57" t="s">
        <v>117</v>
      </c>
      <c r="E95" s="415">
        <f>1000+220</f>
        <v>1220</v>
      </c>
      <c r="F95" s="415">
        <f t="shared" si="36"/>
        <v>85400</v>
      </c>
      <c r="G95" s="415">
        <v>95</v>
      </c>
      <c r="H95" s="415">
        <f t="shared" si="37"/>
        <v>6650</v>
      </c>
      <c r="I95" s="416">
        <f t="shared" si="38"/>
        <v>92050</v>
      </c>
      <c r="J95" s="454"/>
      <c r="K95" s="454" t="s">
        <v>248</v>
      </c>
    </row>
    <row r="96" spans="1:12">
      <c r="A96" s="455"/>
      <c r="B96" s="56" t="s">
        <v>222</v>
      </c>
      <c r="C96" s="86">
        <v>189</v>
      </c>
      <c r="D96" s="57" t="s">
        <v>117</v>
      </c>
      <c r="E96" s="415">
        <v>100</v>
      </c>
      <c r="F96" s="415">
        <f t="shared" si="36"/>
        <v>18900</v>
      </c>
      <c r="G96" s="415">
        <v>87</v>
      </c>
      <c r="H96" s="415">
        <f t="shared" si="37"/>
        <v>16443</v>
      </c>
      <c r="I96" s="416">
        <f t="shared" si="38"/>
        <v>35343</v>
      </c>
      <c r="J96" s="55"/>
      <c r="K96" s="61"/>
    </row>
    <row r="97" spans="1:12">
      <c r="A97" s="455"/>
      <c r="B97" s="56" t="s">
        <v>223</v>
      </c>
      <c r="C97" s="86">
        <v>110</v>
      </c>
      <c r="D97" s="57" t="s">
        <v>117</v>
      </c>
      <c r="E97" s="415">
        <v>550</v>
      </c>
      <c r="F97" s="415">
        <f t="shared" si="36"/>
        <v>60500</v>
      </c>
      <c r="G97" s="456" t="s">
        <v>120</v>
      </c>
      <c r="H97" s="457"/>
      <c r="I97" s="416">
        <f t="shared" si="38"/>
        <v>60500</v>
      </c>
      <c r="J97" s="55"/>
      <c r="K97" s="61"/>
    </row>
    <row r="98" spans="1:12">
      <c r="A98" s="455"/>
      <c r="B98" s="56" t="s">
        <v>224</v>
      </c>
      <c r="C98" s="82">
        <v>90</v>
      </c>
      <c r="D98" s="57" t="s">
        <v>211</v>
      </c>
      <c r="E98" s="415">
        <v>250</v>
      </c>
      <c r="F98" s="415">
        <f t="shared" ref="F98" si="39">SUM(C98*E98)</f>
        <v>22500</v>
      </c>
      <c r="G98" s="456" t="s">
        <v>120</v>
      </c>
      <c r="H98" s="457"/>
      <c r="I98" s="416">
        <f t="shared" ref="I98" si="40">SUM(F98+H98)</f>
        <v>22500</v>
      </c>
      <c r="J98" s="55"/>
      <c r="K98" s="61"/>
    </row>
    <row r="99" spans="1:12">
      <c r="A99" s="455"/>
      <c r="B99" s="56" t="s">
        <v>225</v>
      </c>
      <c r="C99" s="82">
        <v>72</v>
      </c>
      <c r="D99" s="57" t="s">
        <v>211</v>
      </c>
      <c r="E99" s="415">
        <v>1800</v>
      </c>
      <c r="F99" s="415">
        <f t="shared" ref="F99" si="41">SUM(C99*E99)</f>
        <v>129600</v>
      </c>
      <c r="G99" s="456" t="s">
        <v>120</v>
      </c>
      <c r="H99" s="457"/>
      <c r="I99" s="416">
        <f t="shared" ref="I99" si="42">SUM(F99+H99)</f>
        <v>129600</v>
      </c>
      <c r="J99" s="55"/>
      <c r="K99" s="61"/>
    </row>
    <row r="100" spans="1:12" s="28" customFormat="1">
      <c r="A100" s="412"/>
      <c r="B100" s="56" t="s">
        <v>443</v>
      </c>
      <c r="C100" s="57">
        <v>145</v>
      </c>
      <c r="D100" s="57" t="s">
        <v>117</v>
      </c>
      <c r="E100" s="447">
        <v>0</v>
      </c>
      <c r="F100" s="447">
        <f>SUM(C100*E100)</f>
        <v>0</v>
      </c>
      <c r="G100" s="415">
        <v>113</v>
      </c>
      <c r="H100" s="415">
        <f>SUM(C100*G100)</f>
        <v>16385</v>
      </c>
      <c r="I100" s="416">
        <f>SUM(F100+H100)</f>
        <v>16385</v>
      </c>
      <c r="J100" s="55"/>
    </row>
    <row r="101" spans="1:12" s="28" customFormat="1">
      <c r="A101" s="432"/>
      <c r="B101" s="57" t="s">
        <v>18</v>
      </c>
      <c r="C101" s="86"/>
      <c r="D101" s="57"/>
      <c r="E101" s="81"/>
      <c r="F101" s="433">
        <f>SUM(F84:F100)</f>
        <v>1590435</v>
      </c>
      <c r="G101" s="434"/>
      <c r="H101" s="433">
        <f>SUM(H84:H100)</f>
        <v>608086</v>
      </c>
      <c r="I101" s="416"/>
      <c r="J101" s="55"/>
      <c r="K101" s="61">
        <f>+H101+F101</f>
        <v>2198521</v>
      </c>
      <c r="L101" s="27"/>
    </row>
    <row r="102" spans="1:12" s="28" customFormat="1">
      <c r="A102" s="432"/>
      <c r="B102" s="412" t="s">
        <v>80</v>
      </c>
      <c r="C102" s="86"/>
      <c r="D102" s="57"/>
      <c r="E102" s="81"/>
      <c r="F102" s="415"/>
      <c r="G102" s="434"/>
      <c r="H102" s="435"/>
      <c r="I102" s="436">
        <f>SUM(I84:I100)</f>
        <v>2198521</v>
      </c>
      <c r="J102" s="55"/>
      <c r="L102" s="27"/>
    </row>
    <row r="103" spans="1:12" s="28" customFormat="1">
      <c r="A103" s="412"/>
      <c r="B103" s="413" t="s">
        <v>671</v>
      </c>
      <c r="C103" s="57"/>
      <c r="D103" s="57"/>
      <c r="E103" s="60"/>
      <c r="F103" s="60"/>
      <c r="G103" s="60"/>
      <c r="H103" s="60"/>
      <c r="I103" s="193"/>
      <c r="J103" s="55"/>
      <c r="L103" s="27"/>
    </row>
    <row r="104" spans="1:12">
      <c r="A104" s="412"/>
      <c r="B104" s="55" t="s">
        <v>672</v>
      </c>
      <c r="C104" s="86">
        <v>21</v>
      </c>
      <c r="D104" s="57" t="s">
        <v>119</v>
      </c>
      <c r="E104" s="415">
        <v>7700</v>
      </c>
      <c r="F104" s="415">
        <f t="shared" ref="F104:F115" si="43">+E104*C104</f>
        <v>161700</v>
      </c>
      <c r="G104" s="643" t="s">
        <v>360</v>
      </c>
      <c r="H104" s="644"/>
      <c r="I104" s="416">
        <f t="shared" ref="I104:I115" si="44">+H104+F104</f>
        <v>161700</v>
      </c>
      <c r="J104" s="55"/>
      <c r="K104" s="60">
        <v>8500</v>
      </c>
      <c r="L104" s="8">
        <f>+K104/1.1</f>
        <v>7727.272727272727</v>
      </c>
    </row>
    <row r="105" spans="1:12">
      <c r="A105" s="412"/>
      <c r="B105" s="55" t="s">
        <v>673</v>
      </c>
      <c r="C105" s="86">
        <v>2</v>
      </c>
      <c r="D105" s="57" t="s">
        <v>119</v>
      </c>
      <c r="E105" s="415">
        <v>11000</v>
      </c>
      <c r="F105" s="415">
        <f t="shared" si="43"/>
        <v>22000</v>
      </c>
      <c r="G105" s="643" t="s">
        <v>360</v>
      </c>
      <c r="H105" s="644"/>
      <c r="I105" s="416">
        <f t="shared" si="44"/>
        <v>22000</v>
      </c>
      <c r="J105" s="55"/>
      <c r="K105" s="60">
        <v>13000</v>
      </c>
      <c r="L105" s="8">
        <f t="shared" ref="L105:L115" si="45">+K105/1.1</f>
        <v>11818.181818181818</v>
      </c>
    </row>
    <row r="106" spans="1:12">
      <c r="A106" s="412"/>
      <c r="B106" s="55" t="s">
        <v>674</v>
      </c>
      <c r="C106" s="86">
        <v>23</v>
      </c>
      <c r="D106" s="57" t="s">
        <v>119</v>
      </c>
      <c r="E106" s="415">
        <v>7200</v>
      </c>
      <c r="F106" s="415">
        <f t="shared" si="43"/>
        <v>165600</v>
      </c>
      <c r="G106" s="643" t="s">
        <v>360</v>
      </c>
      <c r="H106" s="644"/>
      <c r="I106" s="416">
        <f t="shared" si="44"/>
        <v>165600</v>
      </c>
      <c r="J106" s="55"/>
      <c r="K106" s="60">
        <v>8000</v>
      </c>
      <c r="L106" s="8">
        <f t="shared" si="45"/>
        <v>7272.7272727272721</v>
      </c>
    </row>
    <row r="107" spans="1:12" s="28" customFormat="1">
      <c r="A107" s="412"/>
      <c r="B107" s="55" t="s">
        <v>675</v>
      </c>
      <c r="C107" s="57">
        <v>22</v>
      </c>
      <c r="D107" s="57" t="s">
        <v>119</v>
      </c>
      <c r="E107" s="415">
        <v>15000</v>
      </c>
      <c r="F107" s="415">
        <f t="shared" si="43"/>
        <v>330000</v>
      </c>
      <c r="G107" s="643" t="s">
        <v>360</v>
      </c>
      <c r="H107" s="644"/>
      <c r="I107" s="416">
        <f t="shared" si="44"/>
        <v>330000</v>
      </c>
      <c r="J107" s="55"/>
      <c r="K107" s="60">
        <v>17500</v>
      </c>
      <c r="L107" s="8">
        <f t="shared" si="45"/>
        <v>15909.090909090908</v>
      </c>
    </row>
    <row r="108" spans="1:12">
      <c r="A108" s="412"/>
      <c r="B108" s="55" t="s">
        <v>676</v>
      </c>
      <c r="C108" s="86">
        <v>11</v>
      </c>
      <c r="D108" s="57" t="s">
        <v>119</v>
      </c>
      <c r="E108" s="81">
        <v>5900</v>
      </c>
      <c r="F108" s="415">
        <f t="shared" si="43"/>
        <v>64900</v>
      </c>
      <c r="G108" s="643" t="s">
        <v>360</v>
      </c>
      <c r="H108" s="644"/>
      <c r="I108" s="416">
        <f t="shared" si="44"/>
        <v>64900</v>
      </c>
      <c r="J108" s="55"/>
      <c r="K108" s="59">
        <v>6500</v>
      </c>
      <c r="L108" s="8">
        <f t="shared" si="45"/>
        <v>5909.090909090909</v>
      </c>
    </row>
    <row r="109" spans="1:12">
      <c r="A109" s="412"/>
      <c r="B109" s="55" t="s">
        <v>677</v>
      </c>
      <c r="C109" s="86">
        <v>2</v>
      </c>
      <c r="D109" s="57" t="s">
        <v>119</v>
      </c>
      <c r="E109" s="415">
        <v>4000</v>
      </c>
      <c r="F109" s="415">
        <f t="shared" si="43"/>
        <v>8000</v>
      </c>
      <c r="G109" s="643" t="s">
        <v>360</v>
      </c>
      <c r="H109" s="644"/>
      <c r="I109" s="416">
        <f t="shared" si="44"/>
        <v>8000</v>
      </c>
      <c r="J109" s="55"/>
      <c r="K109" s="60">
        <v>4500</v>
      </c>
      <c r="L109" s="8">
        <f t="shared" si="45"/>
        <v>4090.9090909090905</v>
      </c>
    </row>
    <row r="110" spans="1:12">
      <c r="A110" s="412"/>
      <c r="B110" s="458" t="s">
        <v>678</v>
      </c>
      <c r="C110" s="86">
        <v>22</v>
      </c>
      <c r="D110" s="57" t="s">
        <v>119</v>
      </c>
      <c r="E110" s="415">
        <v>8100</v>
      </c>
      <c r="F110" s="415">
        <f t="shared" si="43"/>
        <v>178200</v>
      </c>
      <c r="G110" s="643" t="s">
        <v>360</v>
      </c>
      <c r="H110" s="644"/>
      <c r="I110" s="416">
        <f t="shared" si="44"/>
        <v>178200</v>
      </c>
      <c r="J110" s="55"/>
      <c r="K110" s="60">
        <v>9000</v>
      </c>
      <c r="L110" s="8">
        <f t="shared" si="45"/>
        <v>8181.8181818181811</v>
      </c>
    </row>
    <row r="111" spans="1:12">
      <c r="A111" s="412"/>
      <c r="B111" s="458" t="s">
        <v>679</v>
      </c>
      <c r="C111" s="82">
        <v>10</v>
      </c>
      <c r="D111" s="57" t="s">
        <v>119</v>
      </c>
      <c r="E111" s="81">
        <v>16000</v>
      </c>
      <c r="F111" s="415">
        <f t="shared" si="43"/>
        <v>160000</v>
      </c>
      <c r="G111" s="643" t="s">
        <v>360</v>
      </c>
      <c r="H111" s="644"/>
      <c r="I111" s="416">
        <f t="shared" si="44"/>
        <v>160000</v>
      </c>
      <c r="J111" s="55"/>
      <c r="K111" s="59">
        <v>18000</v>
      </c>
      <c r="L111" s="8">
        <f t="shared" si="45"/>
        <v>16363.636363636362</v>
      </c>
    </row>
    <row r="112" spans="1:12">
      <c r="A112" s="412"/>
      <c r="B112" s="458" t="s">
        <v>680</v>
      </c>
      <c r="C112" s="82">
        <v>24</v>
      </c>
      <c r="D112" s="57" t="s">
        <v>119</v>
      </c>
      <c r="E112" s="81">
        <v>6300</v>
      </c>
      <c r="F112" s="415">
        <f t="shared" si="43"/>
        <v>151200</v>
      </c>
      <c r="G112" s="643" t="s">
        <v>360</v>
      </c>
      <c r="H112" s="644"/>
      <c r="I112" s="416">
        <f t="shared" si="44"/>
        <v>151200</v>
      </c>
      <c r="J112" s="55"/>
      <c r="K112" s="59">
        <v>7000</v>
      </c>
      <c r="L112" s="8">
        <f t="shared" si="45"/>
        <v>6363.6363636363631</v>
      </c>
    </row>
    <row r="113" spans="1:12">
      <c r="A113" s="412"/>
      <c r="B113" s="458" t="s">
        <v>681</v>
      </c>
      <c r="C113" s="86">
        <v>1</v>
      </c>
      <c r="D113" s="57" t="s">
        <v>119</v>
      </c>
      <c r="E113" s="415">
        <v>18000</v>
      </c>
      <c r="F113" s="415">
        <f t="shared" si="43"/>
        <v>18000</v>
      </c>
      <c r="G113" s="643" t="s">
        <v>360</v>
      </c>
      <c r="H113" s="644"/>
      <c r="I113" s="416">
        <f t="shared" si="44"/>
        <v>18000</v>
      </c>
      <c r="J113" s="55"/>
      <c r="K113" s="60">
        <v>20000</v>
      </c>
      <c r="L113" s="8">
        <f t="shared" si="45"/>
        <v>18181.81818181818</v>
      </c>
    </row>
    <row r="114" spans="1:12">
      <c r="A114" s="412"/>
      <c r="B114" s="458" t="s">
        <v>682</v>
      </c>
      <c r="C114" s="86">
        <v>2</v>
      </c>
      <c r="D114" s="57" t="s">
        <v>119</v>
      </c>
      <c r="E114" s="415">
        <v>8100</v>
      </c>
      <c r="F114" s="415">
        <f t="shared" si="43"/>
        <v>16200</v>
      </c>
      <c r="G114" s="643" t="s">
        <v>360</v>
      </c>
      <c r="H114" s="644"/>
      <c r="I114" s="416">
        <f t="shared" si="44"/>
        <v>16200</v>
      </c>
      <c r="J114" s="55"/>
      <c r="K114" s="60">
        <v>9000</v>
      </c>
      <c r="L114" s="8">
        <f t="shared" si="45"/>
        <v>8181.8181818181811</v>
      </c>
    </row>
    <row r="115" spans="1:12">
      <c r="A115" s="412"/>
      <c r="B115" s="458" t="s">
        <v>683</v>
      </c>
      <c r="C115" s="197">
        <v>7</v>
      </c>
      <c r="D115" s="57" t="s">
        <v>119</v>
      </c>
      <c r="E115" s="81">
        <v>5400</v>
      </c>
      <c r="F115" s="415">
        <f t="shared" si="43"/>
        <v>37800</v>
      </c>
      <c r="G115" s="643" t="s">
        <v>360</v>
      </c>
      <c r="H115" s="644"/>
      <c r="I115" s="416">
        <f t="shared" si="44"/>
        <v>37800</v>
      </c>
      <c r="J115" s="55"/>
      <c r="K115" s="59">
        <v>6000</v>
      </c>
      <c r="L115" s="8">
        <f t="shared" si="45"/>
        <v>5454.545454545454</v>
      </c>
    </row>
    <row r="116" spans="1:12">
      <c r="A116" s="412"/>
      <c r="B116" s="56"/>
      <c r="C116" s="86"/>
      <c r="D116" s="198"/>
      <c r="E116" s="415"/>
      <c r="F116" s="415"/>
      <c r="G116" s="456"/>
      <c r="H116" s="457"/>
      <c r="I116" s="416"/>
      <c r="J116" s="55"/>
    </row>
    <row r="117" spans="1:12">
      <c r="A117" s="432"/>
      <c r="B117" s="56"/>
      <c r="C117" s="82"/>
      <c r="D117" s="198"/>
      <c r="E117" s="415"/>
      <c r="F117" s="415"/>
      <c r="G117" s="456"/>
      <c r="H117" s="457"/>
      <c r="I117" s="416"/>
      <c r="J117" s="55"/>
    </row>
    <row r="118" spans="1:12">
      <c r="A118" s="432"/>
      <c r="B118" s="443"/>
      <c r="C118" s="82"/>
      <c r="D118" s="198"/>
      <c r="E118" s="415"/>
      <c r="F118" s="415"/>
      <c r="G118" s="456"/>
      <c r="H118" s="457"/>
      <c r="I118" s="416"/>
      <c r="J118" s="55"/>
    </row>
    <row r="119" spans="1:12">
      <c r="A119" s="412"/>
      <c r="B119" s="56"/>
      <c r="C119" s="82"/>
      <c r="D119" s="57"/>
      <c r="E119" s="81"/>
      <c r="F119" s="415"/>
      <c r="G119" s="456"/>
      <c r="H119" s="459"/>
      <c r="I119" s="416"/>
      <c r="J119" s="55"/>
      <c r="K119" s="61"/>
    </row>
    <row r="120" spans="1:12" s="28" customFormat="1">
      <c r="A120" s="432"/>
      <c r="B120" s="57" t="s">
        <v>18</v>
      </c>
      <c r="C120" s="86"/>
      <c r="D120" s="57"/>
      <c r="E120" s="81"/>
      <c r="F120" s="433">
        <f>SUM(F104:F119)</f>
        <v>1313600</v>
      </c>
      <c r="G120" s="434"/>
      <c r="H120" s="433">
        <f>SUM(H104:H119)</f>
        <v>0</v>
      </c>
      <c r="I120" s="416"/>
      <c r="J120" s="55"/>
      <c r="K120" s="61">
        <f>+H120+F120</f>
        <v>1313600</v>
      </c>
      <c r="L120" s="27"/>
    </row>
    <row r="121" spans="1:12" s="28" customFormat="1">
      <c r="A121" s="432"/>
      <c r="B121" s="412" t="s">
        <v>80</v>
      </c>
      <c r="C121" s="86"/>
      <c r="D121" s="57"/>
      <c r="E121" s="81"/>
      <c r="F121" s="415"/>
      <c r="G121" s="434"/>
      <c r="H121" s="435"/>
      <c r="I121" s="436">
        <f>SUM(I104:I119)</f>
        <v>1313600</v>
      </c>
      <c r="J121" s="55"/>
      <c r="K121" s="460"/>
      <c r="L121" s="27"/>
    </row>
    <row r="122" spans="1:12" s="28" customFormat="1">
      <c r="A122" s="412"/>
      <c r="B122" s="413" t="s">
        <v>684</v>
      </c>
      <c r="C122" s="57"/>
      <c r="D122" s="57"/>
      <c r="E122" s="60"/>
      <c r="F122" s="60"/>
      <c r="G122" s="60"/>
      <c r="H122" s="60"/>
      <c r="I122" s="193"/>
      <c r="J122" s="55"/>
      <c r="L122" s="27"/>
    </row>
    <row r="123" spans="1:12">
      <c r="A123" s="412"/>
      <c r="B123" s="55" t="s">
        <v>685</v>
      </c>
      <c r="C123" s="86">
        <v>23</v>
      </c>
      <c r="D123" s="57" t="s">
        <v>119</v>
      </c>
      <c r="E123" s="415">
        <v>5200</v>
      </c>
      <c r="F123" s="415">
        <f t="shared" ref="F123:F130" si="46">+E123*C123</f>
        <v>119600</v>
      </c>
      <c r="G123" s="415">
        <v>450</v>
      </c>
      <c r="H123" s="415">
        <f t="shared" ref="H123:H130" si="47">+G123*C123</f>
        <v>10350</v>
      </c>
      <c r="I123" s="416">
        <f t="shared" ref="I123:I130" si="48">+H123+F123</f>
        <v>129950</v>
      </c>
      <c r="J123" s="55"/>
    </row>
    <row r="124" spans="1:12">
      <c r="A124" s="412"/>
      <c r="B124" s="55" t="s">
        <v>686</v>
      </c>
      <c r="C124" s="86">
        <v>23</v>
      </c>
      <c r="D124" s="57" t="s">
        <v>119</v>
      </c>
      <c r="E124" s="415">
        <v>3190</v>
      </c>
      <c r="F124" s="415">
        <f t="shared" si="46"/>
        <v>73370</v>
      </c>
      <c r="G124" s="456">
        <v>450</v>
      </c>
      <c r="H124" s="415">
        <f t="shared" si="47"/>
        <v>10350</v>
      </c>
      <c r="I124" s="416">
        <f t="shared" si="48"/>
        <v>83720</v>
      </c>
      <c r="J124" s="55"/>
    </row>
    <row r="125" spans="1:12">
      <c r="A125" s="412"/>
      <c r="B125" s="55" t="s">
        <v>687</v>
      </c>
      <c r="C125" s="86">
        <v>23</v>
      </c>
      <c r="D125" s="57" t="s">
        <v>119</v>
      </c>
      <c r="E125" s="415">
        <v>849</v>
      </c>
      <c r="F125" s="415">
        <f t="shared" si="46"/>
        <v>19527</v>
      </c>
      <c r="G125" s="456">
        <v>70</v>
      </c>
      <c r="H125" s="415">
        <f t="shared" si="47"/>
        <v>1610</v>
      </c>
      <c r="I125" s="416">
        <f t="shared" si="48"/>
        <v>21137</v>
      </c>
      <c r="J125" s="55"/>
    </row>
    <row r="126" spans="1:12" s="28" customFormat="1">
      <c r="A126" s="412"/>
      <c r="B126" s="56" t="s">
        <v>688</v>
      </c>
      <c r="C126" s="57">
        <v>23</v>
      </c>
      <c r="D126" s="57" t="s">
        <v>119</v>
      </c>
      <c r="E126" s="415">
        <v>1281</v>
      </c>
      <c r="F126" s="415">
        <f t="shared" si="46"/>
        <v>29463</v>
      </c>
      <c r="G126" s="456">
        <v>70</v>
      </c>
      <c r="H126" s="415">
        <f t="shared" si="47"/>
        <v>1610</v>
      </c>
      <c r="I126" s="416">
        <f t="shared" si="48"/>
        <v>31073</v>
      </c>
      <c r="J126" s="55"/>
      <c r="L126" s="27"/>
    </row>
    <row r="127" spans="1:12">
      <c r="A127" s="412"/>
      <c r="B127" s="458" t="s">
        <v>689</v>
      </c>
      <c r="C127" s="86">
        <v>23</v>
      </c>
      <c r="D127" s="57" t="s">
        <v>119</v>
      </c>
      <c r="E127" s="81">
        <v>324</v>
      </c>
      <c r="F127" s="415">
        <f t="shared" si="46"/>
        <v>7452</v>
      </c>
      <c r="G127" s="415">
        <v>120</v>
      </c>
      <c r="H127" s="415">
        <f t="shared" si="47"/>
        <v>2760</v>
      </c>
      <c r="I127" s="416">
        <f t="shared" si="48"/>
        <v>10212</v>
      </c>
      <c r="J127" s="55"/>
    </row>
    <row r="128" spans="1:12">
      <c r="A128" s="412"/>
      <c r="B128" s="458" t="s">
        <v>690</v>
      </c>
      <c r="C128" s="86">
        <v>23</v>
      </c>
      <c r="D128" s="57" t="s">
        <v>119</v>
      </c>
      <c r="E128" s="415">
        <v>302</v>
      </c>
      <c r="F128" s="415">
        <f t="shared" si="46"/>
        <v>6946</v>
      </c>
      <c r="G128" s="456">
        <v>120</v>
      </c>
      <c r="H128" s="415">
        <f t="shared" si="47"/>
        <v>2760</v>
      </c>
      <c r="I128" s="416">
        <f t="shared" si="48"/>
        <v>9706</v>
      </c>
      <c r="J128" s="55"/>
    </row>
    <row r="129" spans="1:12">
      <c r="A129" s="412"/>
      <c r="B129" s="458" t="s">
        <v>692</v>
      </c>
      <c r="C129" s="86">
        <v>23</v>
      </c>
      <c r="D129" s="57" t="s">
        <v>119</v>
      </c>
      <c r="E129" s="415">
        <v>350</v>
      </c>
      <c r="F129" s="415">
        <f t="shared" si="46"/>
        <v>8050</v>
      </c>
      <c r="G129" s="456">
        <v>70</v>
      </c>
      <c r="H129" s="415">
        <f t="shared" ref="H129" si="49">+G129*C129</f>
        <v>1610</v>
      </c>
      <c r="I129" s="416">
        <f t="shared" ref="I129" si="50">+H129+F129</f>
        <v>9660</v>
      </c>
      <c r="J129" s="55"/>
    </row>
    <row r="130" spans="1:12">
      <c r="A130" s="412"/>
      <c r="B130" s="458" t="s">
        <v>691</v>
      </c>
      <c r="C130" s="82">
        <v>23</v>
      </c>
      <c r="D130" s="57" t="s">
        <v>119</v>
      </c>
      <c r="E130" s="81">
        <v>450</v>
      </c>
      <c r="F130" s="415">
        <f t="shared" si="46"/>
        <v>10350</v>
      </c>
      <c r="G130" s="456">
        <v>70</v>
      </c>
      <c r="H130" s="415">
        <f t="shared" si="47"/>
        <v>1610</v>
      </c>
      <c r="I130" s="416">
        <f t="shared" si="48"/>
        <v>11960</v>
      </c>
      <c r="J130" s="55"/>
      <c r="K130" s="61"/>
    </row>
    <row r="131" spans="1:12">
      <c r="A131" s="412"/>
      <c r="B131" s="413"/>
      <c r="C131" s="86"/>
      <c r="D131" s="57"/>
      <c r="E131" s="415"/>
      <c r="F131" s="415"/>
      <c r="G131" s="456"/>
      <c r="H131" s="415"/>
      <c r="I131" s="416"/>
      <c r="J131" s="55"/>
      <c r="K131" s="61"/>
    </row>
    <row r="132" spans="1:12">
      <c r="A132" s="412"/>
      <c r="B132" s="458"/>
      <c r="C132" s="86"/>
      <c r="D132" s="57"/>
      <c r="E132" s="415"/>
      <c r="F132" s="415"/>
      <c r="G132" s="456"/>
      <c r="H132" s="415"/>
      <c r="I132" s="416"/>
      <c r="J132" s="55"/>
      <c r="K132" s="61"/>
    </row>
    <row r="133" spans="1:12">
      <c r="A133" s="412"/>
      <c r="B133" s="56"/>
      <c r="C133" s="197"/>
      <c r="D133" s="198"/>
      <c r="E133" s="81"/>
      <c r="F133" s="415"/>
      <c r="G133" s="415"/>
      <c r="H133" s="415"/>
      <c r="I133" s="416"/>
      <c r="J133" s="55"/>
      <c r="K133" s="61"/>
    </row>
    <row r="134" spans="1:12">
      <c r="A134" s="412"/>
      <c r="B134" s="56"/>
      <c r="C134" s="197"/>
      <c r="D134" s="198"/>
      <c r="E134" s="81"/>
      <c r="F134" s="415"/>
      <c r="G134" s="452"/>
      <c r="H134" s="415"/>
      <c r="I134" s="416"/>
      <c r="J134" s="55"/>
      <c r="K134" s="61"/>
    </row>
    <row r="135" spans="1:12">
      <c r="A135" s="412"/>
      <c r="B135" s="56"/>
      <c r="C135" s="86"/>
      <c r="D135" s="198"/>
      <c r="E135" s="415"/>
      <c r="F135" s="415"/>
      <c r="G135" s="456"/>
      <c r="H135" s="415"/>
      <c r="I135" s="416"/>
      <c r="J135" s="55"/>
    </row>
    <row r="136" spans="1:12">
      <c r="A136" s="432"/>
      <c r="B136" s="56"/>
      <c r="C136" s="82"/>
      <c r="D136" s="198"/>
      <c r="E136" s="415"/>
      <c r="F136" s="415"/>
      <c r="G136" s="456"/>
      <c r="H136" s="415"/>
      <c r="I136" s="416"/>
      <c r="J136" s="55"/>
    </row>
    <row r="137" spans="1:12">
      <c r="A137" s="432"/>
      <c r="B137" s="443"/>
      <c r="C137" s="82"/>
      <c r="D137" s="198"/>
      <c r="E137" s="415"/>
      <c r="F137" s="415"/>
      <c r="G137" s="456"/>
      <c r="H137" s="415"/>
      <c r="I137" s="416"/>
      <c r="J137" s="55"/>
    </row>
    <row r="138" spans="1:12">
      <c r="A138" s="412"/>
      <c r="B138" s="56"/>
      <c r="C138" s="82"/>
      <c r="D138" s="57"/>
      <c r="E138" s="81"/>
      <c r="F138" s="415"/>
      <c r="G138" s="456"/>
      <c r="H138" s="459"/>
      <c r="I138" s="416"/>
      <c r="J138" s="55"/>
      <c r="K138" s="61"/>
    </row>
    <row r="139" spans="1:12" s="28" customFormat="1">
      <c r="A139" s="432"/>
      <c r="B139" s="57" t="s">
        <v>18</v>
      </c>
      <c r="C139" s="86"/>
      <c r="D139" s="57"/>
      <c r="E139" s="81"/>
      <c r="F139" s="433">
        <f>SUM(F123:F138)</f>
        <v>274758</v>
      </c>
      <c r="G139" s="434"/>
      <c r="H139" s="433">
        <f>SUM(H123:H138)</f>
        <v>32660</v>
      </c>
      <c r="I139" s="416"/>
      <c r="J139" s="55"/>
      <c r="K139" s="61">
        <f>+H139+F139</f>
        <v>307418</v>
      </c>
      <c r="L139" s="27"/>
    </row>
    <row r="140" spans="1:12" s="28" customFormat="1">
      <c r="A140" s="432"/>
      <c r="B140" s="412" t="s">
        <v>80</v>
      </c>
      <c r="C140" s="86"/>
      <c r="D140" s="57"/>
      <c r="E140" s="81"/>
      <c r="F140" s="415"/>
      <c r="G140" s="434"/>
      <c r="H140" s="435"/>
      <c r="I140" s="436">
        <f>SUM(I123:I138)</f>
        <v>307418</v>
      </c>
      <c r="J140" s="55"/>
      <c r="K140" s="460">
        <f>+I140+I121</f>
        <v>1621018</v>
      </c>
      <c r="L140" s="27">
        <f>+K140*2</f>
        <v>3242036</v>
      </c>
    </row>
    <row r="141" spans="1:12" s="28" customFormat="1">
      <c r="A141" s="412"/>
      <c r="B141" s="413" t="s">
        <v>209</v>
      </c>
      <c r="C141" s="57"/>
      <c r="D141" s="57"/>
      <c r="E141" s="60"/>
      <c r="F141" s="60"/>
      <c r="G141" s="60"/>
      <c r="H141" s="60"/>
      <c r="I141" s="193"/>
      <c r="J141" s="55"/>
      <c r="L141" s="27"/>
    </row>
    <row r="142" spans="1:12">
      <c r="A142" s="412"/>
      <c r="B142" s="55" t="s">
        <v>226</v>
      </c>
      <c r="C142" s="86">
        <v>739</v>
      </c>
      <c r="D142" s="57" t="s">
        <v>117</v>
      </c>
      <c r="E142" s="415">
        <v>100</v>
      </c>
      <c r="F142" s="415">
        <f t="shared" ref="F142:F147" si="51">+E142*C142</f>
        <v>73900</v>
      </c>
      <c r="G142" s="415">
        <v>82</v>
      </c>
      <c r="H142" s="415">
        <f t="shared" ref="H142:H146" si="52">+G142*C142</f>
        <v>60598</v>
      </c>
      <c r="I142" s="416">
        <f t="shared" ref="I142:I147" si="53">+H142+F142</f>
        <v>134498</v>
      </c>
      <c r="J142" s="55"/>
      <c r="K142" s="448">
        <f>+C142+C144+C146+C147</f>
        <v>1440</v>
      </c>
    </row>
    <row r="143" spans="1:12">
      <c r="A143" s="412"/>
      <c r="B143" s="55" t="s">
        <v>227</v>
      </c>
      <c r="C143" s="86">
        <v>410</v>
      </c>
      <c r="D143" s="57" t="s">
        <v>211</v>
      </c>
      <c r="E143" s="415">
        <v>100</v>
      </c>
      <c r="F143" s="415">
        <f t="shared" si="51"/>
        <v>41000</v>
      </c>
      <c r="G143" s="456">
        <v>40</v>
      </c>
      <c r="H143" s="415">
        <f t="shared" si="52"/>
        <v>16400</v>
      </c>
      <c r="I143" s="416">
        <f t="shared" si="53"/>
        <v>57400</v>
      </c>
      <c r="J143" s="55"/>
    </row>
    <row r="144" spans="1:12">
      <c r="A144" s="412"/>
      <c r="B144" s="55" t="s">
        <v>693</v>
      </c>
      <c r="C144" s="86">
        <v>420</v>
      </c>
      <c r="D144" s="57" t="s">
        <v>117</v>
      </c>
      <c r="E144" s="415">
        <v>300</v>
      </c>
      <c r="F144" s="415">
        <f t="shared" si="51"/>
        <v>126000</v>
      </c>
      <c r="G144" s="456">
        <v>158</v>
      </c>
      <c r="H144" s="415">
        <f t="shared" si="52"/>
        <v>66360</v>
      </c>
      <c r="I144" s="416">
        <f t="shared" si="53"/>
        <v>192360</v>
      </c>
      <c r="J144" s="55"/>
    </row>
    <row r="145" spans="1:12" s="28" customFormat="1">
      <c r="A145" s="412"/>
      <c r="B145" s="56" t="s">
        <v>228</v>
      </c>
      <c r="C145" s="57">
        <v>349</v>
      </c>
      <c r="D145" s="57" t="s">
        <v>211</v>
      </c>
      <c r="E145" s="415">
        <v>30</v>
      </c>
      <c r="F145" s="415">
        <f t="shared" si="51"/>
        <v>10470</v>
      </c>
      <c r="G145" s="456">
        <v>40</v>
      </c>
      <c r="H145" s="415">
        <f t="shared" si="52"/>
        <v>13960</v>
      </c>
      <c r="I145" s="416">
        <f t="shared" si="53"/>
        <v>24430</v>
      </c>
      <c r="J145" s="55"/>
      <c r="L145" s="27"/>
    </row>
    <row r="146" spans="1:12">
      <c r="A146" s="412"/>
      <c r="B146" s="458" t="s">
        <v>229</v>
      </c>
      <c r="C146" s="86">
        <v>81</v>
      </c>
      <c r="D146" s="57" t="s">
        <v>117</v>
      </c>
      <c r="E146" s="81">
        <v>250</v>
      </c>
      <c r="F146" s="415">
        <f t="shared" si="51"/>
        <v>20250</v>
      </c>
      <c r="G146" s="415">
        <v>158</v>
      </c>
      <c r="H146" s="415">
        <f t="shared" si="52"/>
        <v>12798</v>
      </c>
      <c r="I146" s="416">
        <f t="shared" si="53"/>
        <v>33048</v>
      </c>
      <c r="J146" s="55"/>
    </row>
    <row r="147" spans="1:12">
      <c r="A147" s="412"/>
      <c r="B147" s="458" t="s">
        <v>230</v>
      </c>
      <c r="C147" s="86">
        <v>200</v>
      </c>
      <c r="D147" s="57" t="s">
        <v>117</v>
      </c>
      <c r="E147" s="415">
        <v>650</v>
      </c>
      <c r="F147" s="415">
        <f t="shared" si="51"/>
        <v>130000</v>
      </c>
      <c r="G147" s="456" t="s">
        <v>120</v>
      </c>
      <c r="H147" s="457"/>
      <c r="I147" s="416">
        <f t="shared" si="53"/>
        <v>130000</v>
      </c>
      <c r="J147" s="55"/>
    </row>
    <row r="148" spans="1:12">
      <c r="A148" s="412"/>
      <c r="B148" s="458" t="s">
        <v>231</v>
      </c>
      <c r="C148" s="86">
        <v>36</v>
      </c>
      <c r="D148" s="57" t="s">
        <v>211</v>
      </c>
      <c r="E148" s="415">
        <v>2000</v>
      </c>
      <c r="F148" s="415">
        <f t="shared" ref="F148" si="54">SUM(C148*E148)</f>
        <v>72000</v>
      </c>
      <c r="G148" s="456" t="s">
        <v>120</v>
      </c>
      <c r="H148" s="457"/>
      <c r="I148" s="416">
        <f t="shared" ref="I148" si="55">SUM(F148+H148)</f>
        <v>72000</v>
      </c>
      <c r="J148" s="55"/>
    </row>
    <row r="149" spans="1:12">
      <c r="A149" s="412"/>
      <c r="B149" s="458" t="s">
        <v>232</v>
      </c>
      <c r="C149" s="82">
        <v>165</v>
      </c>
      <c r="D149" s="57" t="s">
        <v>211</v>
      </c>
      <c r="E149" s="415">
        <v>100</v>
      </c>
      <c r="F149" s="415">
        <f t="shared" ref="F149" si="56">+E149*C149</f>
        <v>16500</v>
      </c>
      <c r="G149" s="456">
        <v>40</v>
      </c>
      <c r="H149" s="415">
        <f t="shared" ref="H149" si="57">+G149*C149</f>
        <v>6600</v>
      </c>
      <c r="I149" s="416">
        <f t="shared" ref="I149" si="58">+H149+F149</f>
        <v>23100</v>
      </c>
      <c r="J149" s="55"/>
      <c r="K149" s="61"/>
    </row>
    <row r="150" spans="1:12">
      <c r="A150" s="412"/>
      <c r="B150" s="458"/>
      <c r="C150" s="82"/>
      <c r="D150" s="57"/>
      <c r="E150" s="81"/>
      <c r="F150" s="415"/>
      <c r="G150" s="456"/>
      <c r="H150" s="457"/>
      <c r="I150" s="416"/>
      <c r="J150" s="55"/>
      <c r="K150" s="61"/>
    </row>
    <row r="151" spans="1:12">
      <c r="A151" s="412"/>
      <c r="B151" s="413" t="s">
        <v>233</v>
      </c>
      <c r="C151" s="86"/>
      <c r="D151" s="57"/>
      <c r="E151" s="415"/>
      <c r="F151" s="415"/>
      <c r="G151" s="456"/>
      <c r="H151" s="457"/>
      <c r="I151" s="416"/>
      <c r="J151" s="55"/>
      <c r="K151" s="61"/>
    </row>
    <row r="152" spans="1:12">
      <c r="A152" s="412"/>
      <c r="B152" s="458" t="s">
        <v>234</v>
      </c>
      <c r="C152" s="86">
        <v>52</v>
      </c>
      <c r="D152" s="57" t="s">
        <v>117</v>
      </c>
      <c r="E152" s="415">
        <v>250</v>
      </c>
      <c r="F152" s="415">
        <f t="shared" ref="F152" si="59">SUM(C152*E152)</f>
        <v>13000</v>
      </c>
      <c r="G152" s="456" t="s">
        <v>120</v>
      </c>
      <c r="H152" s="457"/>
      <c r="I152" s="416">
        <f t="shared" ref="I152" si="60">SUM(F152+H152)</f>
        <v>13000</v>
      </c>
      <c r="J152" s="55"/>
      <c r="K152" s="61"/>
    </row>
    <row r="153" spans="1:12">
      <c r="A153" s="412"/>
      <c r="B153" s="56" t="s">
        <v>249</v>
      </c>
      <c r="C153" s="197">
        <v>75</v>
      </c>
      <c r="D153" s="198" t="s">
        <v>211</v>
      </c>
      <c r="E153" s="81">
        <v>250</v>
      </c>
      <c r="F153" s="415">
        <f t="shared" ref="F153" si="61">+E153*C153</f>
        <v>18750</v>
      </c>
      <c r="G153" s="415">
        <v>40</v>
      </c>
      <c r="H153" s="415">
        <f t="shared" ref="H153" si="62">+G153*C153</f>
        <v>3000</v>
      </c>
      <c r="I153" s="416">
        <f t="shared" ref="I153" si="63">+H153+F153</f>
        <v>21750</v>
      </c>
      <c r="J153" s="55"/>
      <c r="K153" s="61"/>
    </row>
    <row r="154" spans="1:12">
      <c r="A154" s="412"/>
      <c r="B154" s="56" t="s">
        <v>235</v>
      </c>
      <c r="C154" s="86">
        <v>6</v>
      </c>
      <c r="D154" s="198" t="s">
        <v>211</v>
      </c>
      <c r="E154" s="415">
        <v>3000</v>
      </c>
      <c r="F154" s="415">
        <f t="shared" ref="F154" si="64">SUM(C154*E154)</f>
        <v>18000</v>
      </c>
      <c r="G154" s="456" t="s">
        <v>120</v>
      </c>
      <c r="H154" s="457"/>
      <c r="I154" s="416">
        <f t="shared" ref="I154" si="65">SUM(F154+H154)</f>
        <v>18000</v>
      </c>
      <c r="J154" s="55"/>
    </row>
    <row r="155" spans="1:12">
      <c r="A155" s="432"/>
      <c r="B155" s="56" t="s">
        <v>236</v>
      </c>
      <c r="C155" s="82"/>
      <c r="D155" s="198"/>
      <c r="E155" s="415"/>
      <c r="F155" s="415"/>
      <c r="G155" s="456"/>
      <c r="H155" s="457"/>
      <c r="I155" s="416"/>
      <c r="J155" s="55"/>
    </row>
    <row r="156" spans="1:12">
      <c r="A156" s="432"/>
      <c r="B156" s="443"/>
      <c r="C156" s="82"/>
      <c r="D156" s="198"/>
      <c r="E156" s="415"/>
      <c r="F156" s="415"/>
      <c r="G156" s="456"/>
      <c r="H156" s="457"/>
      <c r="I156" s="416"/>
      <c r="J156" s="55"/>
    </row>
    <row r="157" spans="1:12">
      <c r="A157" s="412"/>
      <c r="B157" s="56"/>
      <c r="C157" s="82"/>
      <c r="D157" s="57"/>
      <c r="E157" s="81"/>
      <c r="F157" s="415"/>
      <c r="G157" s="456"/>
      <c r="H157" s="459"/>
      <c r="I157" s="416"/>
      <c r="J157" s="55"/>
      <c r="K157" s="61"/>
    </row>
    <row r="158" spans="1:12" s="28" customFormat="1">
      <c r="A158" s="432"/>
      <c r="B158" s="57" t="s">
        <v>18</v>
      </c>
      <c r="C158" s="86"/>
      <c r="D158" s="57"/>
      <c r="E158" s="81"/>
      <c r="F158" s="433">
        <f>SUM(F142:F157)</f>
        <v>539870</v>
      </c>
      <c r="G158" s="434"/>
      <c r="H158" s="433">
        <f>SUM(H142:H157)</f>
        <v>179716</v>
      </c>
      <c r="I158" s="416"/>
      <c r="J158" s="55"/>
      <c r="K158" s="61">
        <f>+H158+F158</f>
        <v>719586</v>
      </c>
      <c r="L158" s="27"/>
    </row>
    <row r="159" spans="1:12" s="28" customFormat="1">
      <c r="A159" s="432"/>
      <c r="B159" s="412" t="s">
        <v>80</v>
      </c>
      <c r="C159" s="86"/>
      <c r="D159" s="57"/>
      <c r="E159" s="81"/>
      <c r="F159" s="415"/>
      <c r="G159" s="434"/>
      <c r="H159" s="435"/>
      <c r="I159" s="436">
        <f>SUM(I142:I157)</f>
        <v>719586</v>
      </c>
      <c r="J159" s="55"/>
      <c r="K159" s="460"/>
      <c r="L159" s="27"/>
    </row>
    <row r="160" spans="1:12" s="28" customFormat="1">
      <c r="A160" s="410"/>
      <c r="B160" s="437" t="s">
        <v>210</v>
      </c>
      <c r="C160" s="68"/>
      <c r="D160" s="69"/>
      <c r="E160" s="127"/>
      <c r="F160" s="127"/>
      <c r="G160" s="127"/>
      <c r="H160" s="406"/>
      <c r="I160" s="53"/>
      <c r="J160" s="69"/>
    </row>
    <row r="161" spans="1:12" s="28" customFormat="1">
      <c r="A161" s="412"/>
      <c r="B161" s="56" t="s">
        <v>237</v>
      </c>
      <c r="C161" s="57">
        <v>145</v>
      </c>
      <c r="D161" s="57" t="s">
        <v>117</v>
      </c>
      <c r="E161" s="415">
        <v>160</v>
      </c>
      <c r="F161" s="415">
        <f>SUM(C161*E161)</f>
        <v>23200</v>
      </c>
      <c r="G161" s="456" t="s">
        <v>120</v>
      </c>
      <c r="H161" s="457"/>
      <c r="I161" s="416">
        <f>SUM(F161+H161)</f>
        <v>23200</v>
      </c>
      <c r="J161" s="55"/>
    </row>
    <row r="162" spans="1:12" s="28" customFormat="1">
      <c r="A162" s="412"/>
      <c r="B162" s="56" t="s">
        <v>238</v>
      </c>
      <c r="C162" s="86">
        <v>1495</v>
      </c>
      <c r="D162" s="57" t="s">
        <v>117</v>
      </c>
      <c r="E162" s="415">
        <v>65</v>
      </c>
      <c r="F162" s="415">
        <f>SUM(C162*E162)</f>
        <v>97175</v>
      </c>
      <c r="G162" s="415">
        <v>34</v>
      </c>
      <c r="H162" s="415">
        <f>SUM(C162*G162)</f>
        <v>50830</v>
      </c>
      <c r="I162" s="416">
        <f>SUM(F162+H162)</f>
        <v>148005</v>
      </c>
      <c r="J162" s="55"/>
    </row>
    <row r="163" spans="1:12" s="28" customFormat="1">
      <c r="A163" s="412"/>
      <c r="B163" s="56" t="s">
        <v>239</v>
      </c>
      <c r="C163" s="86">
        <v>3058</v>
      </c>
      <c r="D163" s="57" t="s">
        <v>117</v>
      </c>
      <c r="E163" s="415">
        <v>65</v>
      </c>
      <c r="F163" s="415">
        <f>SUM(C163*E163)</f>
        <v>198770</v>
      </c>
      <c r="G163" s="415">
        <v>30</v>
      </c>
      <c r="H163" s="415">
        <f>SUM(C163*G163)</f>
        <v>91740</v>
      </c>
      <c r="I163" s="416">
        <f>SUM(F163+H163)</f>
        <v>290510</v>
      </c>
      <c r="J163" s="55"/>
      <c r="K163" s="86">
        <v>3468</v>
      </c>
    </row>
    <row r="164" spans="1:12" s="28" customFormat="1">
      <c r="A164" s="412"/>
      <c r="B164" s="56" t="s">
        <v>240</v>
      </c>
      <c r="C164" s="57">
        <v>100</v>
      </c>
      <c r="D164" s="57" t="s">
        <v>117</v>
      </c>
      <c r="E164" s="415">
        <v>75</v>
      </c>
      <c r="F164" s="415">
        <f>SUM(C164*E164)</f>
        <v>7500</v>
      </c>
      <c r="G164" s="415">
        <v>38</v>
      </c>
      <c r="H164" s="415">
        <f>SUM(C164*G164)</f>
        <v>3800</v>
      </c>
      <c r="I164" s="416">
        <f>SUM(F164+H164)</f>
        <v>11300</v>
      </c>
      <c r="J164" s="55"/>
    </row>
    <row r="165" spans="1:12" s="28" customFormat="1">
      <c r="A165" s="57"/>
      <c r="B165" s="437"/>
      <c r="C165" s="57"/>
      <c r="D165" s="57"/>
      <c r="E165" s="415"/>
      <c r="F165" s="415"/>
      <c r="G165" s="415"/>
      <c r="H165" s="415"/>
      <c r="I165" s="416"/>
      <c r="J165" s="55"/>
    </row>
    <row r="166" spans="1:12" s="28" customFormat="1">
      <c r="A166" s="56"/>
      <c r="B166" s="56"/>
      <c r="C166" s="86"/>
      <c r="D166" s="57"/>
      <c r="E166" s="447"/>
      <c r="F166" s="447"/>
      <c r="G166" s="415"/>
      <c r="H166" s="415"/>
      <c r="I166" s="416"/>
      <c r="J166" s="55"/>
    </row>
    <row r="167" spans="1:12" s="28" customFormat="1">
      <c r="A167" s="57"/>
      <c r="B167" s="443"/>
      <c r="C167" s="86"/>
      <c r="D167" s="57"/>
      <c r="E167" s="415"/>
      <c r="F167" s="415"/>
      <c r="G167" s="415"/>
      <c r="H167" s="415"/>
      <c r="I167" s="416"/>
      <c r="J167" s="55"/>
    </row>
    <row r="168" spans="1:12">
      <c r="A168" s="56"/>
      <c r="B168" s="443"/>
      <c r="C168" s="86"/>
      <c r="D168" s="57"/>
      <c r="E168" s="415"/>
      <c r="F168" s="415"/>
      <c r="G168" s="415"/>
      <c r="H168" s="415"/>
      <c r="I168" s="416"/>
      <c r="J168" s="55"/>
      <c r="L168" s="10"/>
    </row>
    <row r="169" spans="1:12">
      <c r="A169" s="56"/>
      <c r="B169" s="57" t="s">
        <v>18</v>
      </c>
      <c r="C169" s="86"/>
      <c r="D169" s="57"/>
      <c r="E169" s="81"/>
      <c r="F169" s="433">
        <f>SUM(F161:F168)</f>
        <v>326645</v>
      </c>
      <c r="G169" s="434"/>
      <c r="H169" s="433">
        <f>SUM(H161:H168)</f>
        <v>146370</v>
      </c>
      <c r="I169" s="416"/>
      <c r="J169" s="55"/>
      <c r="K169" s="461">
        <f>+H169+F169</f>
        <v>473015</v>
      </c>
      <c r="L169" s="10"/>
    </row>
    <row r="170" spans="1:12">
      <c r="A170" s="56"/>
      <c r="B170" s="412" t="s">
        <v>80</v>
      </c>
      <c r="C170" s="86"/>
      <c r="D170" s="57"/>
      <c r="E170" s="81"/>
      <c r="F170" s="415"/>
      <c r="G170" s="415"/>
      <c r="H170" s="415"/>
      <c r="I170" s="436">
        <f>SUM(I161:I169)</f>
        <v>473015</v>
      </c>
      <c r="J170" s="55"/>
      <c r="K170" s="61">
        <f>+I170+I159+I140+I121+I102+I83+I64+I45+I26</f>
        <v>9634202.2800000012</v>
      </c>
      <c r="L170" s="61">
        <f>+K170*2</f>
        <v>19268404.560000002</v>
      </c>
    </row>
    <row r="171" spans="1:12">
      <c r="A171" s="56"/>
      <c r="B171" s="56"/>
      <c r="C171" s="57"/>
      <c r="D171" s="57"/>
      <c r="E171" s="415"/>
      <c r="F171" s="415"/>
      <c r="G171" s="415"/>
      <c r="H171" s="415"/>
      <c r="I171" s="416"/>
      <c r="J171" s="55"/>
      <c r="L171" s="10"/>
    </row>
    <row r="172" spans="1:12">
      <c r="A172" s="57"/>
      <c r="B172" s="56" t="s">
        <v>296</v>
      </c>
      <c r="C172" s="86">
        <v>1</v>
      </c>
      <c r="D172" s="57" t="s">
        <v>297</v>
      </c>
      <c r="E172" s="462">
        <f>+F169+F158+F101+F82+F63+F44+F25+F120+F139</f>
        <v>7819452.2800000003</v>
      </c>
      <c r="F172" s="462">
        <f>+E172*C172</f>
        <v>7819452.2800000003</v>
      </c>
      <c r="G172" s="462">
        <f>+H169+H158+H101+H82+H63+H44+H25+H139+H120</f>
        <v>1814750</v>
      </c>
      <c r="H172" s="462">
        <f>+G172*C172</f>
        <v>1814750</v>
      </c>
      <c r="I172" s="462">
        <f>+H172+F172</f>
        <v>9634202.2800000012</v>
      </c>
      <c r="J172" s="55"/>
      <c r="K172" s="461">
        <f>+G172+E172</f>
        <v>9634202.2800000012</v>
      </c>
      <c r="L172" s="10"/>
    </row>
    <row r="173" spans="1:12">
      <c r="A173" s="424"/>
      <c r="B173" s="57"/>
      <c r="C173" s="86"/>
      <c r="D173" s="57"/>
      <c r="E173" s="462"/>
      <c r="F173" s="462"/>
      <c r="G173" s="462"/>
      <c r="H173" s="462"/>
      <c r="I173" s="463"/>
      <c r="J173" s="55"/>
      <c r="L173" s="10"/>
    </row>
    <row r="174" spans="1:12">
      <c r="A174" s="424"/>
      <c r="B174" s="56" t="s">
        <v>296</v>
      </c>
      <c r="C174" s="86">
        <v>2</v>
      </c>
      <c r="D174" s="57" t="s">
        <v>297</v>
      </c>
      <c r="E174" s="462">
        <f>+E172</f>
        <v>7819452.2800000003</v>
      </c>
      <c r="F174" s="462">
        <f>+E174*C174</f>
        <v>15638904.560000001</v>
      </c>
      <c r="G174" s="462">
        <f>+G172</f>
        <v>1814750</v>
      </c>
      <c r="H174" s="462">
        <f>+G174*C174</f>
        <v>3629500</v>
      </c>
      <c r="I174" s="462">
        <f>+H174+F174</f>
        <v>19268404.560000002</v>
      </c>
      <c r="J174" s="55"/>
      <c r="K174" s="461">
        <f>+H174+F174</f>
        <v>19268404.560000002</v>
      </c>
      <c r="L174" s="10"/>
    </row>
    <row r="175" spans="1:12">
      <c r="A175" s="432"/>
      <c r="B175" s="443"/>
      <c r="C175" s="86"/>
      <c r="D175" s="57"/>
      <c r="E175" s="462"/>
      <c r="F175" s="462"/>
      <c r="G175" s="462"/>
      <c r="H175" s="462"/>
      <c r="I175" s="463"/>
      <c r="J175" s="55"/>
      <c r="L175" s="10"/>
    </row>
    <row r="176" spans="1:12">
      <c r="A176" s="432"/>
      <c r="B176" s="57"/>
      <c r="C176" s="86"/>
      <c r="D176" s="57"/>
      <c r="E176" s="462"/>
      <c r="F176" s="462"/>
      <c r="G176" s="462"/>
      <c r="H176" s="462"/>
      <c r="I176" s="463"/>
      <c r="J176" s="55"/>
      <c r="K176" s="461">
        <f>+H176+F176</f>
        <v>0</v>
      </c>
      <c r="L176" s="10"/>
    </row>
    <row r="177" spans="1:12" s="468" customFormat="1">
      <c r="A177" s="432"/>
      <c r="B177" s="412" t="s">
        <v>298</v>
      </c>
      <c r="C177" s="464">
        <v>2</v>
      </c>
      <c r="D177" s="412" t="s">
        <v>297</v>
      </c>
      <c r="E177" s="465"/>
      <c r="F177" s="465"/>
      <c r="G177" s="465"/>
      <c r="H177" s="465"/>
      <c r="I177" s="466">
        <f>+I174</f>
        <v>19268404.560000002</v>
      </c>
      <c r="J177" s="467"/>
    </row>
    <row r="178" spans="1:12">
      <c r="A178" s="10"/>
      <c r="B178" s="8"/>
      <c r="L178" s="10"/>
    </row>
    <row r="179" spans="1:12">
      <c r="A179" s="10"/>
      <c r="B179" s="8"/>
      <c r="K179" s="471">
        <f>I170+I159+I140+I121+I102+I83</f>
        <v>5474755</v>
      </c>
      <c r="L179" s="10"/>
    </row>
    <row r="180" spans="1:12">
      <c r="A180" s="61"/>
      <c r="B180" s="8"/>
      <c r="L180" s="10"/>
    </row>
    <row r="181" spans="1:12">
      <c r="A181" s="10"/>
      <c r="B181" s="8"/>
      <c r="L181" s="10"/>
    </row>
    <row r="182" spans="1:12" s="28" customFormat="1">
      <c r="A182" s="445"/>
      <c r="B182" s="27"/>
    </row>
    <row r="183" spans="1:12" s="28" customFormat="1">
      <c r="A183" s="445"/>
      <c r="B183" s="27"/>
    </row>
    <row r="184" spans="1:12" s="28" customFormat="1">
      <c r="A184" s="445"/>
      <c r="B184" s="27"/>
    </row>
    <row r="185" spans="1:12" s="28" customFormat="1">
      <c r="A185" s="445"/>
      <c r="B185" s="27"/>
    </row>
    <row r="186" spans="1:12" s="28" customFormat="1">
      <c r="A186" s="445"/>
      <c r="B186" s="27"/>
    </row>
    <row r="187" spans="1:12" s="28" customFormat="1">
      <c r="A187" s="445"/>
      <c r="B187" s="27"/>
    </row>
    <row r="188" spans="1:12" s="28" customFormat="1">
      <c r="A188" s="445"/>
      <c r="B188" s="27"/>
    </row>
    <row r="189" spans="1:12" s="28" customFormat="1">
      <c r="A189" s="445"/>
      <c r="B189" s="27"/>
    </row>
    <row r="190" spans="1:12" s="28" customFormat="1">
      <c r="A190" s="445"/>
      <c r="B190" s="27"/>
    </row>
    <row r="191" spans="1:12" s="28" customFormat="1">
      <c r="A191" s="445"/>
      <c r="B191" s="27"/>
    </row>
    <row r="192" spans="1:12" s="28" customFormat="1">
      <c r="A192" s="445"/>
      <c r="B192" s="27"/>
    </row>
    <row r="193" spans="1:12" s="28" customFormat="1">
      <c r="A193" s="445"/>
      <c r="B193" s="27"/>
    </row>
    <row r="194" spans="1:12" s="28" customFormat="1">
      <c r="A194" s="445"/>
      <c r="B194" s="27"/>
    </row>
    <row r="195" spans="1:12" s="28" customFormat="1">
      <c r="A195" s="445"/>
      <c r="B195" s="27"/>
    </row>
    <row r="196" spans="1:12" s="28" customFormat="1">
      <c r="A196" s="445"/>
      <c r="B196" s="27"/>
    </row>
    <row r="197" spans="1:12" s="28" customFormat="1">
      <c r="A197" s="445"/>
      <c r="B197" s="27"/>
    </row>
    <row r="198" spans="1:12" s="28" customFormat="1">
      <c r="A198" s="445"/>
      <c r="B198" s="27"/>
    </row>
    <row r="199" spans="1:12" s="28" customFormat="1">
      <c r="A199" s="445"/>
      <c r="B199" s="27"/>
    </row>
    <row r="200" spans="1:12" s="28" customFormat="1">
      <c r="A200" s="445"/>
      <c r="B200" s="27"/>
    </row>
    <row r="201" spans="1:12">
      <c r="A201" s="10"/>
      <c r="B201" s="8"/>
      <c r="L201" s="10"/>
    </row>
    <row r="202" spans="1:12">
      <c r="A202" s="61" t="e">
        <f>+#REF!+#REF!</f>
        <v>#REF!</v>
      </c>
      <c r="B202" s="8"/>
      <c r="L202" s="10"/>
    </row>
    <row r="203" spans="1:12">
      <c r="A203" s="10"/>
      <c r="B203" s="8"/>
      <c r="L203" s="10"/>
    </row>
    <row r="204" spans="1:12" ht="19.5" thickBot="1"/>
    <row r="205" spans="1:12" ht="19.5" thickBot="1">
      <c r="K205" s="470" t="e">
        <f>#REF!+#REF!+I159+I102+I83</f>
        <v>#REF!</v>
      </c>
      <c r="L205" s="8" t="s">
        <v>157</v>
      </c>
    </row>
  </sheetData>
  <mergeCells count="15">
    <mergeCell ref="A1:J1"/>
    <mergeCell ref="E6:F6"/>
    <mergeCell ref="G6:H6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BreakPreview" topLeftCell="A4" zoomScaleNormal="100" zoomScaleSheetLayoutView="100" workbookViewId="0">
      <selection activeCell="B36" sqref="B36"/>
    </sheetView>
  </sheetViews>
  <sheetFormatPr defaultColWidth="9.140625" defaultRowHeight="21"/>
  <cols>
    <col min="1" max="1" width="10.28515625" style="95" customWidth="1"/>
    <col min="2" max="2" width="56.140625" style="89" customWidth="1"/>
    <col min="3" max="3" width="8.5703125" style="89" customWidth="1"/>
    <col min="4" max="4" width="7" style="89" customWidth="1"/>
    <col min="5" max="8" width="11.7109375" style="89" customWidth="1"/>
    <col min="9" max="9" width="13.140625" style="89" customWidth="1"/>
    <col min="10" max="10" width="8.85546875" style="89" customWidth="1"/>
    <col min="11" max="11" width="12" style="89" customWidth="1"/>
    <col min="12" max="12" width="13.85546875" style="9" bestFit="1" customWidth="1"/>
    <col min="13" max="14" width="13.85546875" style="89" bestFit="1" customWidth="1"/>
    <col min="15" max="16384" width="9.140625" style="89"/>
  </cols>
  <sheetData>
    <row r="1" spans="1:12" s="8" customFormat="1" ht="18.75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 ht="18.75">
      <c r="A2" s="93" t="s">
        <v>86</v>
      </c>
      <c r="B2" s="138" t="str">
        <f>'ใบสรุปแบบ ปร.5 (ก) '!B2</f>
        <v>งานอาคาร</v>
      </c>
      <c r="C2" s="64"/>
      <c r="D2" s="63"/>
      <c r="E2" s="63"/>
      <c r="F2" s="62"/>
      <c r="G2" s="62"/>
      <c r="H2" s="65"/>
      <c r="I2" s="63"/>
      <c r="J2" s="63"/>
    </row>
    <row r="3" spans="1:12" s="8" customFormat="1" ht="18.75">
      <c r="A3" s="93" t="s">
        <v>87</v>
      </c>
      <c r="B3" s="138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C3" s="65" t="s">
        <v>14</v>
      </c>
      <c r="D3" s="62" t="str">
        <f>+'แบบ ปร.6'!B4</f>
        <v>62-2-101,63-5-006,62-4-030</v>
      </c>
      <c r="E3" s="100"/>
      <c r="F3" s="62"/>
      <c r="G3" s="62"/>
      <c r="H3" s="63"/>
      <c r="I3" s="63"/>
      <c r="J3" s="62"/>
    </row>
    <row r="4" spans="1:12" s="66" customFormat="1" ht="18.75">
      <c r="A4" s="93" t="s">
        <v>81</v>
      </c>
      <c r="B4" s="138" t="str">
        <f>+'แบบ ปร.6'!B3</f>
        <v>จ.ชลบุรี</v>
      </c>
      <c r="C4" s="62" t="s">
        <v>84</v>
      </c>
      <c r="D4" s="62"/>
      <c r="F4" s="137" t="str">
        <f>+'แบบ ปร.6'!C5</f>
        <v>สอ.รฝ.</v>
      </c>
      <c r="G4" s="63"/>
      <c r="H4" s="63"/>
      <c r="I4" s="63"/>
      <c r="J4" s="63"/>
    </row>
    <row r="5" spans="1:12" s="66" customFormat="1" ht="19.5" thickBot="1">
      <c r="A5" s="205" t="s">
        <v>149</v>
      </c>
      <c r="B5" s="136" t="s">
        <v>150</v>
      </c>
      <c r="C5" s="125">
        <f>+'แบบ ปร.6'!B7</f>
        <v>0</v>
      </c>
      <c r="D5" s="136"/>
      <c r="E5" s="125"/>
      <c r="F5" s="125"/>
      <c r="G5" s="125"/>
      <c r="H5" s="125"/>
      <c r="I5" s="126"/>
      <c r="J5" s="126"/>
    </row>
    <row r="6" spans="1:12" s="10" customFormat="1" ht="19.5" thickTop="1">
      <c r="A6" s="120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  <c r="L6" s="8"/>
    </row>
    <row r="7" spans="1:12" s="10" customFormat="1" ht="19.5" thickBot="1">
      <c r="A7" s="12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L7" s="8"/>
    </row>
    <row r="8" spans="1:12" s="10" customFormat="1" ht="19.5" thickTop="1">
      <c r="A8" s="118"/>
      <c r="B8" s="189" t="s">
        <v>145</v>
      </c>
      <c r="C8" s="68"/>
      <c r="D8" s="69"/>
      <c r="E8" s="127"/>
      <c r="F8" s="127"/>
      <c r="G8" s="127"/>
      <c r="H8" s="128"/>
      <c r="I8" s="53"/>
      <c r="J8" s="69"/>
      <c r="L8" s="8"/>
    </row>
    <row r="9" spans="1:12" s="28" customFormat="1" ht="18.75">
      <c r="A9" s="90"/>
      <c r="B9" s="56" t="s">
        <v>146</v>
      </c>
      <c r="C9" s="86">
        <v>1</v>
      </c>
      <c r="D9" s="57" t="s">
        <v>119</v>
      </c>
      <c r="E9" s="60">
        <v>12500</v>
      </c>
      <c r="F9" s="60">
        <f t="shared" ref="F9:F11" si="0">SUM(C9*E9)</f>
        <v>12500</v>
      </c>
      <c r="G9" s="195" t="s">
        <v>120</v>
      </c>
      <c r="H9" s="196"/>
      <c r="I9" s="193">
        <f t="shared" ref="I9:I11" si="1">SUM(F9+H9)</f>
        <v>12500</v>
      </c>
      <c r="J9" s="55"/>
      <c r="L9" s="27"/>
    </row>
    <row r="10" spans="1:12" s="28" customFormat="1" ht="18.75">
      <c r="A10" s="90"/>
      <c r="B10" s="56" t="s">
        <v>148</v>
      </c>
      <c r="C10" s="86">
        <v>1</v>
      </c>
      <c r="D10" s="57" t="s">
        <v>119</v>
      </c>
      <c r="E10" s="60">
        <v>8000</v>
      </c>
      <c r="F10" s="60">
        <f t="shared" si="0"/>
        <v>8000</v>
      </c>
      <c r="G10" s="195" t="s">
        <v>120</v>
      </c>
      <c r="H10" s="196"/>
      <c r="I10" s="193">
        <f t="shared" si="1"/>
        <v>8000</v>
      </c>
      <c r="J10" s="55"/>
      <c r="L10" s="27"/>
    </row>
    <row r="11" spans="1:12" s="28" customFormat="1" ht="18.75">
      <c r="A11" s="90"/>
      <c r="B11" s="56" t="s">
        <v>121</v>
      </c>
      <c r="C11" s="86">
        <v>1</v>
      </c>
      <c r="D11" s="57" t="s">
        <v>119</v>
      </c>
      <c r="E11" s="60">
        <v>4500</v>
      </c>
      <c r="F11" s="60">
        <f t="shared" si="0"/>
        <v>4500</v>
      </c>
      <c r="G11" s="195" t="s">
        <v>120</v>
      </c>
      <c r="H11" s="196"/>
      <c r="I11" s="193">
        <f t="shared" si="1"/>
        <v>4500</v>
      </c>
      <c r="J11" s="55"/>
      <c r="L11" s="27"/>
    </row>
    <row r="12" spans="1:12" s="28" customFormat="1" ht="18.75">
      <c r="A12" s="90"/>
      <c r="B12" s="56" t="s">
        <v>147</v>
      </c>
      <c r="C12" s="82">
        <v>1</v>
      </c>
      <c r="D12" s="57" t="s">
        <v>119</v>
      </c>
      <c r="E12" s="60">
        <v>1500</v>
      </c>
      <c r="F12" s="60">
        <f t="shared" ref="F12:F13" si="2">SUM(C12*E12)</f>
        <v>1500</v>
      </c>
      <c r="G12" s="195" t="s">
        <v>120</v>
      </c>
      <c r="H12" s="196"/>
      <c r="I12" s="193">
        <f t="shared" ref="I12:I13" si="3">SUM(F12+H12)</f>
        <v>1500</v>
      </c>
      <c r="J12" s="55"/>
      <c r="L12" s="27"/>
    </row>
    <row r="13" spans="1:12" s="28" customFormat="1" ht="18.75">
      <c r="A13" s="90"/>
      <c r="B13" s="56" t="s">
        <v>153</v>
      </c>
      <c r="C13" s="86">
        <v>1</v>
      </c>
      <c r="D13" s="57" t="s">
        <v>19</v>
      </c>
      <c r="E13" s="60">
        <v>15000</v>
      </c>
      <c r="F13" s="60">
        <f t="shared" si="2"/>
        <v>15000</v>
      </c>
      <c r="G13" s="195" t="s">
        <v>120</v>
      </c>
      <c r="H13" s="196"/>
      <c r="I13" s="193">
        <f t="shared" si="3"/>
        <v>15000</v>
      </c>
      <c r="J13" s="55"/>
      <c r="L13" s="27"/>
    </row>
    <row r="14" spans="1:12" s="28" customFormat="1" ht="18.75">
      <c r="A14" s="90"/>
      <c r="B14" s="56"/>
      <c r="C14" s="82"/>
      <c r="D14" s="57"/>
      <c r="E14" s="59"/>
      <c r="F14" s="60"/>
      <c r="G14" s="60"/>
      <c r="H14" s="60"/>
      <c r="I14" s="54"/>
      <c r="J14" s="55"/>
      <c r="L14" s="27"/>
    </row>
    <row r="15" spans="1:12" s="28" customFormat="1" ht="18.75">
      <c r="A15" s="90"/>
      <c r="B15" s="56"/>
      <c r="C15" s="82"/>
      <c r="D15" s="57"/>
      <c r="E15" s="59"/>
      <c r="F15" s="60"/>
      <c r="G15" s="60"/>
      <c r="H15" s="60"/>
      <c r="I15" s="54"/>
      <c r="J15" s="55"/>
      <c r="L15" s="27"/>
    </row>
    <row r="16" spans="1:12" s="28" customFormat="1" ht="18.75">
      <c r="A16" s="90"/>
      <c r="B16" s="56"/>
      <c r="C16" s="82"/>
      <c r="D16" s="57"/>
      <c r="E16" s="59"/>
      <c r="F16" s="60"/>
      <c r="G16" s="60"/>
      <c r="H16" s="60"/>
      <c r="I16" s="54"/>
      <c r="J16" s="55"/>
      <c r="L16" s="27"/>
    </row>
    <row r="17" spans="1:12" s="28" customFormat="1" ht="18.75">
      <c r="A17" s="90"/>
      <c r="B17" s="56"/>
      <c r="C17" s="82"/>
      <c r="D17" s="57"/>
      <c r="E17" s="59"/>
      <c r="F17" s="60"/>
      <c r="G17" s="60"/>
      <c r="H17" s="60"/>
      <c r="I17" s="54"/>
      <c r="J17" s="55"/>
      <c r="L17" s="27"/>
    </row>
    <row r="18" spans="1:12" s="28" customFormat="1" ht="18.75">
      <c r="A18" s="90"/>
      <c r="B18" s="56"/>
      <c r="C18" s="82"/>
      <c r="D18" s="57"/>
      <c r="E18" s="59"/>
      <c r="F18" s="60"/>
      <c r="G18" s="60"/>
      <c r="H18" s="60"/>
      <c r="I18" s="54"/>
      <c r="J18" s="55"/>
      <c r="L18" s="27"/>
    </row>
    <row r="19" spans="1:12" s="28" customFormat="1" ht="18.75">
      <c r="A19" s="90"/>
      <c r="B19" s="56"/>
      <c r="C19" s="82"/>
      <c r="D19" s="57"/>
      <c r="E19" s="59"/>
      <c r="F19" s="60"/>
      <c r="G19" s="60"/>
      <c r="H19" s="60"/>
      <c r="I19" s="54"/>
      <c r="J19" s="55"/>
      <c r="L19" s="27"/>
    </row>
    <row r="20" spans="1:12" s="28" customFormat="1" ht="18.75">
      <c r="A20" s="90"/>
      <c r="B20" s="56"/>
      <c r="C20" s="82"/>
      <c r="D20" s="57"/>
      <c r="E20" s="59"/>
      <c r="F20" s="60"/>
      <c r="G20" s="60"/>
      <c r="H20" s="60"/>
      <c r="I20" s="54"/>
      <c r="J20" s="55"/>
      <c r="L20" s="27"/>
    </row>
    <row r="21" spans="1:12" s="28" customFormat="1" ht="18.75">
      <c r="A21" s="90"/>
      <c r="B21" s="56"/>
      <c r="C21" s="82"/>
      <c r="D21" s="57"/>
      <c r="E21" s="59"/>
      <c r="F21" s="60"/>
      <c r="G21" s="60"/>
      <c r="H21" s="60"/>
      <c r="I21" s="54"/>
      <c r="J21" s="55"/>
      <c r="L21" s="27"/>
    </row>
    <row r="22" spans="1:12" s="28" customFormat="1" ht="18.75">
      <c r="A22" s="90"/>
      <c r="B22" s="56"/>
      <c r="C22" s="82"/>
      <c r="D22" s="57"/>
      <c r="E22" s="59"/>
      <c r="F22" s="60"/>
      <c r="G22" s="60"/>
      <c r="H22" s="60"/>
      <c r="I22" s="54"/>
      <c r="J22" s="55"/>
      <c r="L22" s="27"/>
    </row>
    <row r="23" spans="1:12" s="28" customFormat="1" ht="18.75">
      <c r="A23" s="90"/>
      <c r="B23" s="56"/>
      <c r="C23" s="82"/>
      <c r="D23" s="57"/>
      <c r="E23" s="59"/>
      <c r="F23" s="60"/>
      <c r="G23" s="60"/>
      <c r="H23" s="60"/>
      <c r="I23" s="54"/>
      <c r="J23" s="55"/>
      <c r="L23" s="27"/>
    </row>
    <row r="24" spans="1:12" s="28" customFormat="1" ht="18.75">
      <c r="A24" s="90"/>
      <c r="B24" s="56"/>
      <c r="C24" s="82"/>
      <c r="D24" s="57"/>
      <c r="E24" s="59"/>
      <c r="F24" s="60"/>
      <c r="G24" s="60"/>
      <c r="H24" s="60"/>
      <c r="I24" s="54"/>
      <c r="J24" s="55"/>
      <c r="L24" s="27"/>
    </row>
    <row r="25" spans="1:12" s="28" customFormat="1" ht="18.75">
      <c r="A25" s="90"/>
      <c r="B25" s="56"/>
      <c r="C25" s="82"/>
      <c r="D25" s="57"/>
      <c r="E25" s="59"/>
      <c r="F25" s="60"/>
      <c r="G25" s="60"/>
      <c r="H25" s="60"/>
      <c r="I25" s="54"/>
      <c r="J25" s="55"/>
      <c r="L25" s="27"/>
    </row>
    <row r="26" spans="1:12" s="28" customFormat="1" ht="18.75">
      <c r="A26" s="90"/>
      <c r="B26" s="56"/>
      <c r="C26" s="82"/>
      <c r="D26" s="57"/>
      <c r="E26" s="59"/>
      <c r="F26" s="60"/>
      <c r="G26" s="60"/>
      <c r="H26" s="60"/>
      <c r="I26" s="54"/>
      <c r="J26" s="55"/>
      <c r="L26" s="27"/>
    </row>
    <row r="27" spans="1:12" s="28" customFormat="1" ht="18.75">
      <c r="A27" s="90"/>
      <c r="B27" s="56"/>
      <c r="C27" s="82"/>
      <c r="D27" s="57"/>
      <c r="E27" s="59"/>
      <c r="F27" s="60"/>
      <c r="G27" s="60"/>
      <c r="H27" s="60"/>
      <c r="I27" s="54"/>
      <c r="J27" s="55"/>
      <c r="L27" s="27"/>
    </row>
    <row r="28" spans="1:12" s="28" customFormat="1" ht="18.75">
      <c r="A28" s="90"/>
      <c r="B28" s="56"/>
      <c r="C28" s="82"/>
      <c r="D28" s="57"/>
      <c r="E28" s="59"/>
      <c r="F28" s="60"/>
      <c r="G28" s="60"/>
      <c r="H28" s="60"/>
      <c r="I28" s="54"/>
      <c r="J28" s="55"/>
      <c r="L28" s="27"/>
    </row>
    <row r="29" spans="1:12" s="10" customFormat="1">
      <c r="A29" s="94"/>
      <c r="B29" s="92" t="s">
        <v>18</v>
      </c>
      <c r="C29" s="86"/>
      <c r="D29" s="57"/>
      <c r="E29" s="59"/>
      <c r="F29" s="91">
        <f>SUM(F9:F28)</f>
        <v>41500</v>
      </c>
      <c r="G29" s="87"/>
      <c r="H29" s="91">
        <f>SUM(H9:H28)</f>
        <v>0</v>
      </c>
      <c r="I29" s="54"/>
      <c r="J29" s="55"/>
      <c r="K29" s="61">
        <f>+H29+F29</f>
        <v>41500</v>
      </c>
      <c r="L29" s="8"/>
    </row>
    <row r="30" spans="1:12" s="10" customFormat="1" ht="18.75">
      <c r="A30" s="94"/>
      <c r="B30" s="90" t="s">
        <v>80</v>
      </c>
      <c r="C30" s="86"/>
      <c r="D30" s="57"/>
      <c r="E30" s="59"/>
      <c r="F30" s="60"/>
      <c r="G30" s="87"/>
      <c r="H30" s="88"/>
      <c r="I30" s="67">
        <f>SUM(I9:I28)</f>
        <v>41500</v>
      </c>
      <c r="J30" s="55"/>
      <c r="K30" s="61"/>
      <c r="L30" s="8"/>
    </row>
  </sheetData>
  <mergeCells count="3">
    <mergeCell ref="A1:J1"/>
    <mergeCell ref="E6:F6"/>
    <mergeCell ref="G6:H6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BreakPreview" zoomScaleNormal="100" zoomScaleSheetLayoutView="100" workbookViewId="0">
      <selection activeCell="B24" sqref="B24"/>
    </sheetView>
  </sheetViews>
  <sheetFormatPr defaultColWidth="9.140625" defaultRowHeight="21"/>
  <cols>
    <col min="1" max="1" width="10" style="95" customWidth="1"/>
    <col min="2" max="2" width="56.140625" style="89" customWidth="1"/>
    <col min="3" max="3" width="8.5703125" style="89" customWidth="1"/>
    <col min="4" max="4" width="7" style="89" customWidth="1"/>
    <col min="5" max="8" width="11.7109375" style="89" customWidth="1"/>
    <col min="9" max="9" width="13.140625" style="89" customWidth="1"/>
    <col min="10" max="10" width="8.85546875" style="89" customWidth="1"/>
    <col min="11" max="11" width="12" style="89" customWidth="1"/>
    <col min="12" max="12" width="13.85546875" style="9" bestFit="1" customWidth="1"/>
    <col min="13" max="14" width="13.85546875" style="89" bestFit="1" customWidth="1"/>
    <col min="15" max="16384" width="9.140625" style="89"/>
  </cols>
  <sheetData>
    <row r="1" spans="1:12" s="8" customFormat="1" ht="18.75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 ht="18.75">
      <c r="A2" s="93" t="s">
        <v>86</v>
      </c>
      <c r="B2" s="138" t="str">
        <f>'ใบสรุปแบบ ปร.5 (ก) '!B2</f>
        <v>งานอาคาร</v>
      </c>
      <c r="C2" s="64"/>
      <c r="D2" s="63"/>
      <c r="E2" s="63"/>
      <c r="F2" s="62"/>
      <c r="G2" s="62"/>
      <c r="H2" s="65"/>
      <c r="I2" s="63"/>
      <c r="J2" s="63"/>
    </row>
    <row r="3" spans="1:12" s="8" customFormat="1" ht="18.75">
      <c r="A3" s="93" t="s">
        <v>87</v>
      </c>
      <c r="B3" s="138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C3" s="65" t="s">
        <v>14</v>
      </c>
      <c r="D3" s="138" t="str">
        <f>+'แบบ ปร.6'!B4</f>
        <v>62-2-101,63-5-006,62-4-030</v>
      </c>
      <c r="E3" s="100"/>
      <c r="F3" s="62"/>
      <c r="G3" s="62"/>
      <c r="H3" s="63"/>
      <c r="I3" s="63"/>
      <c r="J3" s="62"/>
    </row>
    <row r="4" spans="1:12" s="66" customFormat="1" ht="18.75">
      <c r="A4" s="93" t="s">
        <v>81</v>
      </c>
      <c r="B4" s="138" t="str">
        <f>+'แบบ ปร.6'!B3</f>
        <v>จ.ชลบุรี</v>
      </c>
      <c r="C4" s="62" t="s">
        <v>84</v>
      </c>
      <c r="D4" s="62"/>
      <c r="F4" s="137" t="str">
        <f>+'แบบ ปร.6'!C5</f>
        <v>สอ.รฝ.</v>
      </c>
      <c r="G4" s="63"/>
      <c r="H4" s="63"/>
      <c r="I4" s="63"/>
      <c r="J4" s="63"/>
    </row>
    <row r="5" spans="1:12" s="66" customFormat="1" ht="19.5" thickBot="1">
      <c r="A5" s="205" t="s">
        <v>149</v>
      </c>
      <c r="B5" s="136" t="s">
        <v>152</v>
      </c>
      <c r="C5" s="125">
        <f>+'แบบ ปร.6'!B7</f>
        <v>0</v>
      </c>
      <c r="D5" s="136"/>
      <c r="E5" s="125"/>
      <c r="F5" s="125"/>
      <c r="G5" s="125"/>
      <c r="H5" s="125"/>
      <c r="I5" s="126"/>
      <c r="J5" s="126"/>
    </row>
    <row r="6" spans="1:12" s="10" customFormat="1" ht="19.5" thickTop="1">
      <c r="A6" s="120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  <c r="L6" s="8"/>
    </row>
    <row r="7" spans="1:12" s="10" customFormat="1" ht="19.5" thickBot="1">
      <c r="A7" s="12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L7" s="8"/>
    </row>
    <row r="8" spans="1:12" s="10" customFormat="1" ht="19.5" thickTop="1">
      <c r="A8" s="118"/>
      <c r="B8" s="189" t="s">
        <v>125</v>
      </c>
      <c r="C8" s="68"/>
      <c r="D8" s="69"/>
      <c r="E8" s="127"/>
      <c r="F8" s="127"/>
      <c r="G8" s="127"/>
      <c r="H8" s="128"/>
      <c r="I8" s="53"/>
      <c r="J8" s="69"/>
      <c r="L8" s="8"/>
    </row>
    <row r="9" spans="1:12" s="28" customFormat="1" ht="18.75">
      <c r="A9" s="90"/>
      <c r="B9" s="56" t="s">
        <v>126</v>
      </c>
      <c r="C9" s="86"/>
      <c r="D9" s="57"/>
      <c r="E9" s="199"/>
      <c r="F9" s="200"/>
      <c r="G9" s="200"/>
      <c r="H9" s="200"/>
      <c r="I9" s="201"/>
      <c r="J9" s="55"/>
      <c r="L9" s="27"/>
    </row>
    <row r="10" spans="1:12" s="28" customFormat="1" ht="18.75">
      <c r="A10" s="90"/>
      <c r="B10" s="55" t="s">
        <v>127</v>
      </c>
      <c r="C10" s="86">
        <v>11</v>
      </c>
      <c r="D10" s="57" t="s">
        <v>119</v>
      </c>
      <c r="E10" s="60">
        <v>4500</v>
      </c>
      <c r="F10" s="60">
        <f>SUM(C10*E10)</f>
        <v>49500</v>
      </c>
      <c r="G10" s="83">
        <v>0</v>
      </c>
      <c r="H10" s="83">
        <f t="shared" ref="H10:H13" si="0">SUM(C10*G10)</f>
        <v>0</v>
      </c>
      <c r="I10" s="193">
        <f>SUM(F10)</f>
        <v>49500</v>
      </c>
      <c r="J10" s="55"/>
      <c r="L10" s="27"/>
    </row>
    <row r="11" spans="1:12" s="28" customFormat="1" ht="18.75">
      <c r="A11" s="90"/>
      <c r="B11" s="202" t="s">
        <v>122</v>
      </c>
      <c r="C11" s="197">
        <v>8</v>
      </c>
      <c r="D11" s="198" t="s">
        <v>119</v>
      </c>
      <c r="E11" s="203">
        <v>1500</v>
      </c>
      <c r="F11" s="203">
        <f>SUM(C11*E11)</f>
        <v>12000</v>
      </c>
      <c r="G11" s="83">
        <v>0</v>
      </c>
      <c r="H11" s="83">
        <f t="shared" si="0"/>
        <v>0</v>
      </c>
      <c r="I11" s="204">
        <f>SUM(F11)</f>
        <v>12000</v>
      </c>
      <c r="J11" s="55"/>
      <c r="L11" s="27"/>
    </row>
    <row r="12" spans="1:12" s="28" customFormat="1" ht="18.75">
      <c r="A12" s="90"/>
      <c r="B12" s="202" t="s">
        <v>123</v>
      </c>
      <c r="C12" s="197">
        <v>18</v>
      </c>
      <c r="D12" s="198" t="s">
        <v>119</v>
      </c>
      <c r="E12" s="203">
        <v>1300</v>
      </c>
      <c r="F12" s="203">
        <f>SUM(C12*E12)</f>
        <v>23400</v>
      </c>
      <c r="G12" s="83">
        <v>0</v>
      </c>
      <c r="H12" s="83">
        <f t="shared" si="0"/>
        <v>0</v>
      </c>
      <c r="I12" s="204">
        <f>SUM(F12)</f>
        <v>23400</v>
      </c>
      <c r="J12" s="55"/>
      <c r="L12" s="27"/>
    </row>
    <row r="13" spans="1:12" s="28" customFormat="1" ht="18.75">
      <c r="A13" s="90"/>
      <c r="B13" s="202" t="s">
        <v>124</v>
      </c>
      <c r="C13" s="86">
        <v>1</v>
      </c>
      <c r="D13" s="57" t="s">
        <v>119</v>
      </c>
      <c r="E13" s="60">
        <v>1000</v>
      </c>
      <c r="F13" s="60">
        <f>SUM(C13*E13)</f>
        <v>1000</v>
      </c>
      <c r="G13" s="83">
        <v>0</v>
      </c>
      <c r="H13" s="83">
        <f t="shared" si="0"/>
        <v>0</v>
      </c>
      <c r="I13" s="193">
        <f>SUM(F13)</f>
        <v>1000</v>
      </c>
      <c r="J13" s="55"/>
      <c r="L13" s="27"/>
    </row>
    <row r="14" spans="1:12" s="28" customFormat="1" ht="18.75">
      <c r="A14" s="90"/>
      <c r="B14" s="202" t="s">
        <v>128</v>
      </c>
      <c r="C14" s="197">
        <v>15</v>
      </c>
      <c r="D14" s="198" t="s">
        <v>119</v>
      </c>
      <c r="E14" s="199">
        <v>60</v>
      </c>
      <c r="F14" s="200">
        <f t="shared" ref="F14:F23" si="1">C14*E14</f>
        <v>900</v>
      </c>
      <c r="G14" s="195">
        <v>80</v>
      </c>
      <c r="H14" s="200">
        <f t="shared" ref="H14:H18" si="2">C14*G14</f>
        <v>1200</v>
      </c>
      <c r="I14" s="201">
        <f t="shared" ref="I14:I27" si="3">SUM(F14+H14)</f>
        <v>2100</v>
      </c>
      <c r="J14" s="55"/>
      <c r="L14" s="27"/>
    </row>
    <row r="15" spans="1:12" s="28" customFormat="1" ht="18.75">
      <c r="A15" s="90"/>
      <c r="B15" s="202" t="s">
        <v>129</v>
      </c>
      <c r="C15" s="197">
        <v>21</v>
      </c>
      <c r="D15" s="198" t="s">
        <v>119</v>
      </c>
      <c r="E15" s="200">
        <v>200</v>
      </c>
      <c r="F15" s="200">
        <f t="shared" si="1"/>
        <v>4200</v>
      </c>
      <c r="G15" s="195">
        <v>90</v>
      </c>
      <c r="H15" s="200">
        <f t="shared" si="2"/>
        <v>1890</v>
      </c>
      <c r="I15" s="201">
        <f t="shared" si="3"/>
        <v>6090</v>
      </c>
      <c r="J15" s="55"/>
      <c r="L15" s="27"/>
    </row>
    <row r="16" spans="1:12" s="28" customFormat="1" ht="18.75">
      <c r="A16" s="90"/>
      <c r="B16" s="202" t="s">
        <v>130</v>
      </c>
      <c r="C16" s="197">
        <v>10</v>
      </c>
      <c r="D16" s="198" t="s">
        <v>131</v>
      </c>
      <c r="E16" s="199">
        <v>566</v>
      </c>
      <c r="F16" s="200">
        <f t="shared" si="1"/>
        <v>5660</v>
      </c>
      <c r="G16" s="195">
        <v>500</v>
      </c>
      <c r="H16" s="200">
        <f t="shared" si="2"/>
        <v>5000</v>
      </c>
      <c r="I16" s="201">
        <f t="shared" si="3"/>
        <v>10660</v>
      </c>
      <c r="J16" s="55"/>
      <c r="L16" s="27"/>
    </row>
    <row r="17" spans="1:12" s="10" customFormat="1" ht="18.75">
      <c r="A17" s="90"/>
      <c r="B17" s="202" t="s">
        <v>132</v>
      </c>
      <c r="C17" s="197">
        <v>8</v>
      </c>
      <c r="D17" s="198" t="s">
        <v>131</v>
      </c>
      <c r="E17" s="199">
        <v>838</v>
      </c>
      <c r="F17" s="200">
        <f t="shared" si="1"/>
        <v>6704</v>
      </c>
      <c r="G17" s="195">
        <v>700</v>
      </c>
      <c r="H17" s="200">
        <f t="shared" si="2"/>
        <v>5600</v>
      </c>
      <c r="I17" s="201">
        <f t="shared" si="3"/>
        <v>12304</v>
      </c>
      <c r="J17" s="55"/>
      <c r="L17" s="8"/>
    </row>
    <row r="18" spans="1:12" s="10" customFormat="1" ht="18.75">
      <c r="A18" s="90"/>
      <c r="B18" s="202" t="s">
        <v>133</v>
      </c>
      <c r="C18" s="197">
        <v>10</v>
      </c>
      <c r="D18" s="198" t="s">
        <v>131</v>
      </c>
      <c r="E18" s="199">
        <v>1264</v>
      </c>
      <c r="F18" s="200">
        <f t="shared" si="1"/>
        <v>12640</v>
      </c>
      <c r="G18" s="195">
        <v>1000</v>
      </c>
      <c r="H18" s="200">
        <f t="shared" si="2"/>
        <v>10000</v>
      </c>
      <c r="I18" s="201">
        <f t="shared" si="3"/>
        <v>22640</v>
      </c>
      <c r="J18" s="55"/>
      <c r="L18" s="8"/>
    </row>
    <row r="19" spans="1:12" s="10" customFormat="1" ht="18.75">
      <c r="A19" s="90"/>
      <c r="B19" s="202" t="s">
        <v>134</v>
      </c>
      <c r="C19" s="197">
        <v>50</v>
      </c>
      <c r="D19" s="198" t="s">
        <v>118</v>
      </c>
      <c r="E19" s="199">
        <v>110</v>
      </c>
      <c r="F19" s="200">
        <f t="shared" si="1"/>
        <v>5500</v>
      </c>
      <c r="G19" s="200">
        <v>72</v>
      </c>
      <c r="H19" s="200">
        <f>C19*G19</f>
        <v>3600</v>
      </c>
      <c r="I19" s="201">
        <f t="shared" si="3"/>
        <v>9100</v>
      </c>
      <c r="J19" s="55"/>
      <c r="L19" s="8"/>
    </row>
    <row r="20" spans="1:12" s="28" customFormat="1" ht="18.75">
      <c r="A20" s="90"/>
      <c r="B20" s="202" t="s">
        <v>135</v>
      </c>
      <c r="C20" s="197">
        <v>100</v>
      </c>
      <c r="D20" s="198" t="s">
        <v>118</v>
      </c>
      <c r="E20" s="199">
        <v>76</v>
      </c>
      <c r="F20" s="200">
        <f t="shared" si="1"/>
        <v>7600</v>
      </c>
      <c r="G20" s="200">
        <v>66</v>
      </c>
      <c r="H20" s="200">
        <f>C20*G20</f>
        <v>6600</v>
      </c>
      <c r="I20" s="201">
        <f t="shared" si="3"/>
        <v>14200</v>
      </c>
      <c r="J20" s="55"/>
      <c r="L20" s="27"/>
    </row>
    <row r="21" spans="1:12" s="10" customFormat="1" ht="18.75">
      <c r="A21" s="90"/>
      <c r="B21" s="202" t="s">
        <v>136</v>
      </c>
      <c r="C21" s="197">
        <v>30</v>
      </c>
      <c r="D21" s="198" t="s">
        <v>118</v>
      </c>
      <c r="E21" s="199">
        <v>157</v>
      </c>
      <c r="F21" s="200">
        <f t="shared" si="1"/>
        <v>4710</v>
      </c>
      <c r="G21" s="200">
        <v>84</v>
      </c>
      <c r="H21" s="200">
        <f>C21*G21</f>
        <v>2520</v>
      </c>
      <c r="I21" s="201">
        <f t="shared" si="3"/>
        <v>7230</v>
      </c>
      <c r="J21" s="55"/>
      <c r="L21" s="8"/>
    </row>
    <row r="22" spans="1:12" s="10" customFormat="1" ht="18.75">
      <c r="A22" s="90"/>
      <c r="B22" s="202" t="s">
        <v>137</v>
      </c>
      <c r="C22" s="197">
        <v>8</v>
      </c>
      <c r="D22" s="198" t="s">
        <v>118</v>
      </c>
      <c r="E22" s="199">
        <v>461</v>
      </c>
      <c r="F22" s="200">
        <f t="shared" si="1"/>
        <v>3688</v>
      </c>
      <c r="G22" s="200">
        <v>126</v>
      </c>
      <c r="H22" s="200">
        <f>C22*G22</f>
        <v>1008</v>
      </c>
      <c r="I22" s="201">
        <f t="shared" si="3"/>
        <v>4696</v>
      </c>
      <c r="J22" s="55"/>
      <c r="L22" s="8"/>
    </row>
    <row r="23" spans="1:12" s="10" customFormat="1" ht="18.75">
      <c r="A23" s="90"/>
      <c r="B23" s="202" t="s">
        <v>138</v>
      </c>
      <c r="C23" s="197">
        <v>3</v>
      </c>
      <c r="D23" s="198" t="s">
        <v>139</v>
      </c>
      <c r="E23" s="199">
        <v>90</v>
      </c>
      <c r="F23" s="200">
        <f t="shared" si="1"/>
        <v>270</v>
      </c>
      <c r="G23" s="200">
        <v>50</v>
      </c>
      <c r="H23" s="200">
        <f>C23*G23</f>
        <v>150</v>
      </c>
      <c r="I23" s="201">
        <f t="shared" si="3"/>
        <v>420</v>
      </c>
      <c r="J23" s="55"/>
      <c r="K23" s="61"/>
      <c r="L23" s="8"/>
    </row>
    <row r="24" spans="1:12" s="10" customFormat="1" ht="18.75">
      <c r="A24" s="94"/>
      <c r="B24" s="202" t="s">
        <v>140</v>
      </c>
      <c r="C24" s="86">
        <v>1</v>
      </c>
      <c r="D24" s="57" t="s">
        <v>119</v>
      </c>
      <c r="E24" s="60">
        <v>10360</v>
      </c>
      <c r="F24" s="60">
        <f>SUM(C24*E24)</f>
        <v>10360</v>
      </c>
      <c r="G24" s="195">
        <v>1000</v>
      </c>
      <c r="H24" s="200">
        <f t="shared" ref="H24:H27" si="4">C24*G24</f>
        <v>1000</v>
      </c>
      <c r="I24" s="193">
        <f t="shared" si="3"/>
        <v>11360</v>
      </c>
      <c r="J24" s="55"/>
      <c r="K24" s="61"/>
      <c r="L24" s="8"/>
    </row>
    <row r="25" spans="1:12" s="10" customFormat="1" ht="18.75">
      <c r="A25" s="94"/>
      <c r="B25" s="202" t="s">
        <v>141</v>
      </c>
      <c r="C25" s="86">
        <v>1</v>
      </c>
      <c r="D25" s="57" t="s">
        <v>119</v>
      </c>
      <c r="E25" s="60">
        <v>2200</v>
      </c>
      <c r="F25" s="60">
        <f>SUM(C25*E25)</f>
        <v>2200</v>
      </c>
      <c r="G25" s="195">
        <v>300</v>
      </c>
      <c r="H25" s="200">
        <f t="shared" si="4"/>
        <v>300</v>
      </c>
      <c r="I25" s="193">
        <f t="shared" si="3"/>
        <v>2500</v>
      </c>
      <c r="J25" s="55"/>
      <c r="K25" s="61"/>
      <c r="L25" s="8"/>
    </row>
    <row r="26" spans="1:12" s="10" customFormat="1" ht="18.75">
      <c r="A26" s="94"/>
      <c r="B26" s="202" t="s">
        <v>142</v>
      </c>
      <c r="C26" s="86">
        <v>5</v>
      </c>
      <c r="D26" s="57" t="s">
        <v>119</v>
      </c>
      <c r="E26" s="60">
        <v>400</v>
      </c>
      <c r="F26" s="60">
        <f>SUM(C26*E26)</f>
        <v>2000</v>
      </c>
      <c r="G26" s="195">
        <v>100</v>
      </c>
      <c r="H26" s="200">
        <f t="shared" si="4"/>
        <v>500</v>
      </c>
      <c r="I26" s="193">
        <f t="shared" si="3"/>
        <v>2500</v>
      </c>
      <c r="J26" s="55"/>
      <c r="K26" s="61"/>
      <c r="L26" s="8"/>
    </row>
    <row r="27" spans="1:12" s="10" customFormat="1" ht="18.75">
      <c r="A27" s="94"/>
      <c r="B27" s="202" t="s">
        <v>143</v>
      </c>
      <c r="C27" s="197">
        <v>2</v>
      </c>
      <c r="D27" s="198" t="s">
        <v>118</v>
      </c>
      <c r="E27" s="199">
        <v>1000</v>
      </c>
      <c r="F27" s="200">
        <f>C27*E27</f>
        <v>2000</v>
      </c>
      <c r="G27" s="200">
        <v>400</v>
      </c>
      <c r="H27" s="200">
        <f t="shared" si="4"/>
        <v>800</v>
      </c>
      <c r="I27" s="201">
        <f t="shared" si="3"/>
        <v>2800</v>
      </c>
      <c r="J27" s="55"/>
      <c r="K27" s="61"/>
      <c r="L27" s="8"/>
    </row>
    <row r="28" spans="1:12" s="10" customFormat="1" ht="18.75">
      <c r="A28" s="90"/>
      <c r="B28" s="202" t="s">
        <v>144</v>
      </c>
      <c r="C28" s="197">
        <v>2</v>
      </c>
      <c r="D28" s="198" t="s">
        <v>119</v>
      </c>
      <c r="E28" s="83">
        <v>0</v>
      </c>
      <c r="F28" s="83">
        <f t="shared" ref="F28" si="5">SUM(A28*E28)</f>
        <v>0</v>
      </c>
      <c r="G28" s="200">
        <v>3000</v>
      </c>
      <c r="H28" s="200">
        <f>SUM(C28*G28)</f>
        <v>6000</v>
      </c>
      <c r="I28" s="201">
        <f>SUM(H28)</f>
        <v>6000</v>
      </c>
      <c r="J28" s="55"/>
      <c r="K28" s="61"/>
      <c r="L28" s="8"/>
    </row>
    <row r="29" spans="1:12" s="10" customFormat="1">
      <c r="A29" s="94"/>
      <c r="B29" s="92" t="s">
        <v>18</v>
      </c>
      <c r="C29" s="86"/>
      <c r="D29" s="57"/>
      <c r="E29" s="59"/>
      <c r="F29" s="91">
        <f>SUM(F9:F28)</f>
        <v>154332</v>
      </c>
      <c r="G29" s="87"/>
      <c r="H29" s="91">
        <f>SUM(H9:H28)</f>
        <v>46168</v>
      </c>
      <c r="I29" s="54"/>
      <c r="J29" s="55"/>
      <c r="K29" s="61">
        <f>+H29+F29</f>
        <v>200500</v>
      </c>
      <c r="L29" s="8"/>
    </row>
    <row r="30" spans="1:12" s="10" customFormat="1" ht="18.75">
      <c r="A30" s="94"/>
      <c r="B30" s="90" t="s">
        <v>80</v>
      </c>
      <c r="C30" s="86"/>
      <c r="D30" s="57"/>
      <c r="E30" s="59"/>
      <c r="F30" s="60"/>
      <c r="G30" s="87"/>
      <c r="H30" s="88"/>
      <c r="I30" s="67">
        <f>SUM(I9:I28)</f>
        <v>200500</v>
      </c>
      <c r="J30" s="55"/>
      <c r="K30" s="61"/>
      <c r="L30" s="8"/>
    </row>
  </sheetData>
  <mergeCells count="3">
    <mergeCell ref="A1:J1"/>
    <mergeCell ref="E6:F6"/>
    <mergeCell ref="G6:H6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49"/>
  <sheetViews>
    <sheetView showGridLines="0" view="pageBreakPreview" topLeftCell="A25" zoomScaleNormal="100" zoomScaleSheetLayoutView="100" workbookViewId="0">
      <selection activeCell="I40" sqref="I40"/>
    </sheetView>
  </sheetViews>
  <sheetFormatPr defaultColWidth="9.140625" defaultRowHeight="21"/>
  <cols>
    <col min="1" max="1" width="10.42578125" style="95" customWidth="1"/>
    <col min="2" max="2" width="59.140625" style="89" customWidth="1"/>
    <col min="3" max="3" width="8.5703125" style="89" customWidth="1"/>
    <col min="4" max="4" width="7" style="89" customWidth="1"/>
    <col min="5" max="8" width="11.7109375" style="89" customWidth="1"/>
    <col min="9" max="9" width="13.140625" style="89" customWidth="1"/>
    <col min="10" max="10" width="8.85546875" style="89" customWidth="1"/>
    <col min="11" max="11" width="12" style="89" customWidth="1"/>
    <col min="12" max="12" width="13.85546875" style="9" bestFit="1" customWidth="1"/>
    <col min="13" max="14" width="13.85546875" style="89" bestFit="1" customWidth="1"/>
    <col min="15" max="16384" width="9.140625" style="89"/>
  </cols>
  <sheetData>
    <row r="1" spans="1:12" s="8" customFormat="1" ht="18.75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 ht="18.75">
      <c r="A2" s="93" t="s">
        <v>86</v>
      </c>
      <c r="B2" s="138" t="str">
        <f>'ใบสรุปแบบ ปร.5 (ก) '!B2</f>
        <v>งานอาคาร</v>
      </c>
      <c r="C2" s="64"/>
      <c r="D2" s="63"/>
      <c r="E2" s="63"/>
      <c r="F2" s="62"/>
      <c r="G2" s="62"/>
      <c r="H2" s="65"/>
      <c r="I2" s="63"/>
      <c r="J2" s="63"/>
    </row>
    <row r="3" spans="1:12" s="8" customFormat="1" ht="18.75">
      <c r="A3" s="93" t="s">
        <v>87</v>
      </c>
      <c r="B3" s="138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C3" s="65" t="s">
        <v>14</v>
      </c>
      <c r="D3" s="138" t="str">
        <f>+'แบบ ปร.6'!B4</f>
        <v>62-2-101,63-5-006,62-4-030</v>
      </c>
      <c r="E3" s="100"/>
      <c r="F3" s="62"/>
      <c r="G3" s="62"/>
      <c r="H3" s="63"/>
      <c r="I3" s="63"/>
      <c r="J3" s="62"/>
    </row>
    <row r="4" spans="1:12" s="66" customFormat="1" ht="18.75">
      <c r="A4" s="93" t="s">
        <v>81</v>
      </c>
      <c r="B4" s="138" t="str">
        <f>+'แบบ ปร.6'!B3</f>
        <v>จ.ชลบุรี</v>
      </c>
      <c r="C4" s="62" t="s">
        <v>84</v>
      </c>
      <c r="D4" s="62"/>
      <c r="F4" s="137" t="str">
        <f>+'แบบ ปร.6'!C5</f>
        <v>สอ.รฝ.</v>
      </c>
      <c r="G4" s="63"/>
      <c r="H4" s="63"/>
      <c r="I4" s="63"/>
      <c r="J4" s="63"/>
    </row>
    <row r="5" spans="1:12" s="66" customFormat="1" ht="19.5" thickBot="1">
      <c r="A5" s="124" t="s">
        <v>149</v>
      </c>
      <c r="B5" s="136" t="s">
        <v>183</v>
      </c>
      <c r="C5" s="125">
        <f>+'แบบ ปร.6'!B7</f>
        <v>0</v>
      </c>
      <c r="D5" s="136"/>
      <c r="E5" s="125"/>
      <c r="F5" s="125"/>
      <c r="G5" s="125"/>
      <c r="H5" s="125"/>
      <c r="I5" s="126"/>
      <c r="J5" s="126"/>
    </row>
    <row r="6" spans="1:12" s="10" customFormat="1" ht="19.5" thickTop="1">
      <c r="A6" s="120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  <c r="L6" s="8"/>
    </row>
    <row r="7" spans="1:12" s="10" customFormat="1" ht="19.5" thickBot="1">
      <c r="A7" s="12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L7" s="8"/>
    </row>
    <row r="8" spans="1:12" s="10" customFormat="1" ht="19.5" thickTop="1">
      <c r="A8" s="118"/>
      <c r="B8" s="189" t="s">
        <v>154</v>
      </c>
      <c r="C8" s="68"/>
      <c r="D8" s="69"/>
      <c r="E8" s="127"/>
      <c r="F8" s="127"/>
      <c r="G8" s="127"/>
      <c r="H8" s="128"/>
      <c r="I8" s="53"/>
      <c r="J8" s="69"/>
      <c r="L8" s="8"/>
    </row>
    <row r="9" spans="1:12" s="10" customFormat="1" ht="18.75">
      <c r="A9" s="90"/>
      <c r="B9" s="264" t="s">
        <v>175</v>
      </c>
      <c r="C9" s="265"/>
      <c r="D9" s="265"/>
      <c r="E9" s="266"/>
      <c r="F9" s="266"/>
      <c r="G9" s="266"/>
      <c r="H9" s="266"/>
      <c r="I9" s="267"/>
      <c r="J9" s="55"/>
      <c r="L9" s="8"/>
    </row>
    <row r="10" spans="1:12" s="28" customFormat="1" ht="18.75">
      <c r="A10" s="90"/>
      <c r="B10" s="268" t="s">
        <v>176</v>
      </c>
      <c r="C10" s="265"/>
      <c r="D10" s="269"/>
      <c r="E10" s="266"/>
      <c r="F10" s="266"/>
      <c r="G10" s="270"/>
      <c r="H10" s="271"/>
      <c r="I10" s="267"/>
      <c r="J10" s="55"/>
      <c r="L10" s="27"/>
    </row>
    <row r="11" spans="1:12" s="28" customFormat="1" ht="18.75">
      <c r="A11" s="90"/>
      <c r="B11" s="287" t="s">
        <v>205</v>
      </c>
      <c r="C11" s="272">
        <v>3</v>
      </c>
      <c r="D11" s="273" t="s">
        <v>177</v>
      </c>
      <c r="E11" s="274">
        <v>5100</v>
      </c>
      <c r="F11" s="274">
        <f>SUM(C11*E11)</f>
        <v>15300</v>
      </c>
      <c r="G11" s="275">
        <v>1500</v>
      </c>
      <c r="H11" s="276">
        <f t="shared" ref="H11:H23" si="0">G11*C11</f>
        <v>4500</v>
      </c>
      <c r="I11" s="277">
        <f t="shared" ref="I11:I24" si="1">F11+H11</f>
        <v>19800</v>
      </c>
      <c r="J11" s="55"/>
      <c r="L11" s="27"/>
    </row>
    <row r="12" spans="1:12" s="28" customFormat="1" ht="18.75">
      <c r="A12" s="90"/>
      <c r="B12" s="286" t="s">
        <v>204</v>
      </c>
      <c r="C12" s="272">
        <v>34</v>
      </c>
      <c r="D12" s="273" t="s">
        <v>178</v>
      </c>
      <c r="E12" s="274">
        <v>1050</v>
      </c>
      <c r="F12" s="274">
        <f>E12*C12</f>
        <v>35700</v>
      </c>
      <c r="G12" s="275">
        <v>250</v>
      </c>
      <c r="H12" s="276">
        <f t="shared" si="0"/>
        <v>8500</v>
      </c>
      <c r="I12" s="277">
        <f t="shared" si="1"/>
        <v>44200</v>
      </c>
      <c r="J12" s="55"/>
      <c r="L12" s="27"/>
    </row>
    <row r="13" spans="1:12" s="28" customFormat="1" ht="18.75">
      <c r="A13" s="90"/>
      <c r="B13" s="286" t="s">
        <v>203</v>
      </c>
      <c r="C13" s="272">
        <v>24</v>
      </c>
      <c r="D13" s="273" t="s">
        <v>178</v>
      </c>
      <c r="E13" s="274">
        <v>550</v>
      </c>
      <c r="F13" s="274">
        <f>E13*C13</f>
        <v>13200</v>
      </c>
      <c r="G13" s="275">
        <v>250</v>
      </c>
      <c r="H13" s="276">
        <f t="shared" si="0"/>
        <v>6000</v>
      </c>
      <c r="I13" s="277">
        <f t="shared" si="1"/>
        <v>19200</v>
      </c>
      <c r="J13" s="55"/>
      <c r="L13" s="27"/>
    </row>
    <row r="14" spans="1:12" s="28" customFormat="1" ht="18.75">
      <c r="A14" s="90"/>
      <c r="B14" s="286" t="s">
        <v>202</v>
      </c>
      <c r="C14" s="272">
        <v>6</v>
      </c>
      <c r="D14" s="273" t="s">
        <v>179</v>
      </c>
      <c r="E14" s="274">
        <v>1250</v>
      </c>
      <c r="F14" s="274">
        <f>SUM(C14*E14)</f>
        <v>7500</v>
      </c>
      <c r="G14" s="275">
        <v>300</v>
      </c>
      <c r="H14" s="276">
        <f t="shared" si="0"/>
        <v>1800</v>
      </c>
      <c r="I14" s="277">
        <f t="shared" si="1"/>
        <v>9300</v>
      </c>
      <c r="J14" s="55"/>
      <c r="L14" s="27"/>
    </row>
    <row r="15" spans="1:12" s="28" customFormat="1" ht="18.75">
      <c r="A15" s="90"/>
      <c r="B15" s="286" t="s">
        <v>201</v>
      </c>
      <c r="C15" s="272">
        <v>2</v>
      </c>
      <c r="D15" s="273" t="s">
        <v>119</v>
      </c>
      <c r="E15" s="274">
        <v>3500</v>
      </c>
      <c r="F15" s="274">
        <f>SUM(C15*E15)</f>
        <v>7000</v>
      </c>
      <c r="G15" s="275">
        <v>500</v>
      </c>
      <c r="H15" s="276">
        <f t="shared" si="0"/>
        <v>1000</v>
      </c>
      <c r="I15" s="277">
        <f t="shared" si="1"/>
        <v>8000</v>
      </c>
      <c r="J15" s="55"/>
      <c r="L15" s="27"/>
    </row>
    <row r="16" spans="1:12" s="28" customFormat="1" ht="18.75">
      <c r="A16" s="90"/>
      <c r="B16" s="285" t="s">
        <v>200</v>
      </c>
      <c r="C16" s="272">
        <v>2</v>
      </c>
      <c r="D16" s="273" t="s">
        <v>119</v>
      </c>
      <c r="E16" s="274">
        <v>9240</v>
      </c>
      <c r="F16" s="278">
        <f>SUM(C16*E16)</f>
        <v>18480</v>
      </c>
      <c r="G16" s="275">
        <v>200</v>
      </c>
      <c r="H16" s="276">
        <f t="shared" si="0"/>
        <v>400</v>
      </c>
      <c r="I16" s="277">
        <f t="shared" si="1"/>
        <v>18880</v>
      </c>
      <c r="J16" s="55"/>
      <c r="L16" s="27"/>
    </row>
    <row r="17" spans="1:12" s="28" customFormat="1" ht="18.75">
      <c r="A17" s="90"/>
      <c r="B17" s="285" t="s">
        <v>199</v>
      </c>
      <c r="C17" s="272">
        <v>6</v>
      </c>
      <c r="D17" s="273" t="s">
        <v>119</v>
      </c>
      <c r="E17" s="274">
        <v>3100</v>
      </c>
      <c r="F17" s="278">
        <f>E17*C17</f>
        <v>18600</v>
      </c>
      <c r="G17" s="275">
        <v>500</v>
      </c>
      <c r="H17" s="276">
        <f t="shared" si="0"/>
        <v>3000</v>
      </c>
      <c r="I17" s="277">
        <f t="shared" si="1"/>
        <v>21600</v>
      </c>
      <c r="J17" s="55"/>
      <c r="L17" s="27"/>
    </row>
    <row r="18" spans="1:12" s="10" customFormat="1" ht="18.75">
      <c r="A18" s="90"/>
      <c r="B18" s="285" t="s">
        <v>198</v>
      </c>
      <c r="C18" s="272">
        <v>6</v>
      </c>
      <c r="D18" s="273" t="s">
        <v>119</v>
      </c>
      <c r="E18" s="274">
        <v>2200</v>
      </c>
      <c r="F18" s="278">
        <f>E18*C18</f>
        <v>13200</v>
      </c>
      <c r="G18" s="275">
        <v>300</v>
      </c>
      <c r="H18" s="276">
        <f t="shared" si="0"/>
        <v>1800</v>
      </c>
      <c r="I18" s="277">
        <f t="shared" si="1"/>
        <v>15000</v>
      </c>
      <c r="J18" s="55"/>
      <c r="L18" s="8"/>
    </row>
    <row r="19" spans="1:12" s="10" customFormat="1" ht="18.75">
      <c r="A19" s="90"/>
      <c r="B19" s="285" t="s">
        <v>197</v>
      </c>
      <c r="C19" s="272">
        <v>1</v>
      </c>
      <c r="D19" s="273" t="s">
        <v>119</v>
      </c>
      <c r="E19" s="278">
        <v>18000</v>
      </c>
      <c r="F19" s="278">
        <f>E19*C19</f>
        <v>18000</v>
      </c>
      <c r="G19" s="275">
        <v>3000</v>
      </c>
      <c r="H19" s="276">
        <f t="shared" si="0"/>
        <v>3000</v>
      </c>
      <c r="I19" s="277">
        <f t="shared" si="1"/>
        <v>21000</v>
      </c>
      <c r="J19" s="55"/>
      <c r="L19" s="8"/>
    </row>
    <row r="20" spans="1:12" s="28" customFormat="1" ht="18.75">
      <c r="A20" s="90"/>
      <c r="B20" s="285" t="s">
        <v>196</v>
      </c>
      <c r="C20" s="272">
        <v>1500</v>
      </c>
      <c r="D20" s="273" t="s">
        <v>180</v>
      </c>
      <c r="E20" s="274">
        <v>120</v>
      </c>
      <c r="F20" s="278">
        <f>SUM(C20*E20)</f>
        <v>180000</v>
      </c>
      <c r="G20" s="275">
        <v>15</v>
      </c>
      <c r="H20" s="276">
        <f t="shared" si="0"/>
        <v>22500</v>
      </c>
      <c r="I20" s="277">
        <f t="shared" si="1"/>
        <v>202500</v>
      </c>
      <c r="J20" s="55"/>
      <c r="L20" s="27"/>
    </row>
    <row r="21" spans="1:12" s="10" customFormat="1" ht="18.75">
      <c r="A21" s="90"/>
      <c r="B21" s="285" t="s">
        <v>195</v>
      </c>
      <c r="C21" s="272">
        <v>1</v>
      </c>
      <c r="D21" s="273" t="s">
        <v>19</v>
      </c>
      <c r="E21" s="274"/>
      <c r="F21" s="279"/>
      <c r="G21" s="275">
        <v>40000</v>
      </c>
      <c r="H21" s="276">
        <f t="shared" si="0"/>
        <v>40000</v>
      </c>
      <c r="I21" s="277">
        <f t="shared" si="1"/>
        <v>40000</v>
      </c>
      <c r="J21" s="55"/>
      <c r="L21" s="8"/>
    </row>
    <row r="22" spans="1:12" s="10" customFormat="1" ht="18.75">
      <c r="A22" s="90"/>
      <c r="B22" s="285" t="s">
        <v>194</v>
      </c>
      <c r="C22" s="272">
        <v>1</v>
      </c>
      <c r="D22" s="273" t="s">
        <v>19</v>
      </c>
      <c r="E22" s="274"/>
      <c r="F22" s="279"/>
      <c r="G22" s="275">
        <v>15000</v>
      </c>
      <c r="H22" s="276">
        <f t="shared" si="0"/>
        <v>15000</v>
      </c>
      <c r="I22" s="277">
        <f t="shared" si="1"/>
        <v>15000</v>
      </c>
      <c r="J22" s="55"/>
      <c r="L22" s="8"/>
    </row>
    <row r="23" spans="1:12" s="10" customFormat="1" ht="18.75">
      <c r="A23" s="90"/>
      <c r="B23" s="286" t="s">
        <v>193</v>
      </c>
      <c r="C23" s="272">
        <v>1</v>
      </c>
      <c r="D23" s="273" t="s">
        <v>19</v>
      </c>
      <c r="E23" s="274">
        <v>15000</v>
      </c>
      <c r="F23" s="279">
        <f>E23*C23</f>
        <v>15000</v>
      </c>
      <c r="G23" s="275">
        <v>5000</v>
      </c>
      <c r="H23" s="276">
        <f t="shared" si="0"/>
        <v>5000</v>
      </c>
      <c r="I23" s="277">
        <f t="shared" si="1"/>
        <v>20000</v>
      </c>
      <c r="J23" s="55"/>
      <c r="L23" s="8"/>
    </row>
    <row r="24" spans="1:12" s="10" customFormat="1" ht="18.75">
      <c r="A24" s="90"/>
      <c r="B24" s="286" t="s">
        <v>192</v>
      </c>
      <c r="C24" s="272">
        <v>1</v>
      </c>
      <c r="D24" s="273" t="s">
        <v>19</v>
      </c>
      <c r="E24" s="274">
        <v>30000</v>
      </c>
      <c r="F24" s="279">
        <f>E24*C24</f>
        <v>30000</v>
      </c>
      <c r="G24" s="275"/>
      <c r="H24" s="276"/>
      <c r="I24" s="277">
        <f t="shared" si="1"/>
        <v>30000</v>
      </c>
      <c r="J24" s="55"/>
      <c r="L24" s="8"/>
    </row>
    <row r="25" spans="1:12" s="10" customFormat="1" ht="18.75">
      <c r="A25" s="94"/>
      <c r="B25" s="56"/>
      <c r="C25" s="86"/>
      <c r="D25" s="57"/>
      <c r="E25" s="59"/>
      <c r="F25" s="60"/>
      <c r="G25" s="84"/>
      <c r="H25" s="85"/>
      <c r="I25" s="54"/>
      <c r="J25" s="55"/>
      <c r="K25" s="61"/>
      <c r="L25" s="8"/>
    </row>
    <row r="26" spans="1:12" s="10" customFormat="1">
      <c r="A26" s="94"/>
      <c r="B26" s="92" t="s">
        <v>18</v>
      </c>
      <c r="C26" s="86"/>
      <c r="D26" s="57"/>
      <c r="E26" s="59"/>
      <c r="F26" s="91">
        <f>SUM(F9:F25)</f>
        <v>371980</v>
      </c>
      <c r="G26" s="87"/>
      <c r="H26" s="91">
        <f>SUM(H9:H25)</f>
        <v>112500</v>
      </c>
      <c r="I26" s="54"/>
      <c r="J26" s="55"/>
      <c r="K26" s="61">
        <f>+H26+F26</f>
        <v>484480</v>
      </c>
      <c r="L26" s="8"/>
    </row>
    <row r="27" spans="1:12" s="10" customFormat="1" ht="18.75">
      <c r="A27" s="94"/>
      <c r="B27" s="90" t="s">
        <v>80</v>
      </c>
      <c r="C27" s="86"/>
      <c r="D27" s="57"/>
      <c r="E27" s="59"/>
      <c r="F27" s="60"/>
      <c r="G27" s="87"/>
      <c r="H27" s="88"/>
      <c r="I27" s="67">
        <f>SUM(I9:I25)</f>
        <v>484480</v>
      </c>
      <c r="J27" s="55"/>
      <c r="K27" s="61"/>
      <c r="L27" s="8"/>
    </row>
    <row r="28" spans="1:12" s="10" customFormat="1" ht="18.75">
      <c r="A28" s="90"/>
      <c r="B28" s="194" t="s">
        <v>155</v>
      </c>
      <c r="C28" s="57"/>
      <c r="D28" s="57"/>
      <c r="E28" s="81"/>
      <c r="F28" s="81"/>
      <c r="G28" s="81"/>
      <c r="H28" s="81"/>
      <c r="I28" s="54"/>
      <c r="J28" s="55"/>
      <c r="L28" s="8"/>
    </row>
    <row r="29" spans="1:12" s="28" customFormat="1" ht="18.75">
      <c r="A29" s="90"/>
      <c r="B29" s="268" t="s">
        <v>181</v>
      </c>
      <c r="C29" s="280"/>
      <c r="D29" s="280"/>
      <c r="E29" s="281"/>
      <c r="F29" s="281"/>
      <c r="G29" s="282"/>
      <c r="H29" s="283"/>
      <c r="I29" s="284"/>
      <c r="J29" s="55"/>
      <c r="L29" s="27"/>
    </row>
    <row r="30" spans="1:12" s="28" customFormat="1" ht="18.75">
      <c r="A30" s="90"/>
      <c r="B30" s="285" t="s">
        <v>185</v>
      </c>
      <c r="C30" s="272">
        <v>680</v>
      </c>
      <c r="D30" s="273" t="s">
        <v>180</v>
      </c>
      <c r="E30" s="274">
        <v>392</v>
      </c>
      <c r="F30" s="278">
        <f t="shared" ref="F30:F36" si="2">SUM(C30*E30)</f>
        <v>266560</v>
      </c>
      <c r="G30" s="275">
        <v>35</v>
      </c>
      <c r="H30" s="276">
        <f t="shared" ref="H30:H37" si="3">G30*C30</f>
        <v>23800</v>
      </c>
      <c r="I30" s="277">
        <f t="shared" ref="I30:I36" si="4">F30+H30</f>
        <v>290360</v>
      </c>
      <c r="J30" s="55"/>
      <c r="L30" s="27"/>
    </row>
    <row r="31" spans="1:12" s="28" customFormat="1" ht="18.75">
      <c r="A31" s="90"/>
      <c r="B31" s="285" t="s">
        <v>186</v>
      </c>
      <c r="C31" s="272">
        <v>100</v>
      </c>
      <c r="D31" s="273" t="s">
        <v>180</v>
      </c>
      <c r="E31" s="274">
        <v>104</v>
      </c>
      <c r="F31" s="278">
        <f t="shared" si="2"/>
        <v>10400</v>
      </c>
      <c r="G31" s="275">
        <v>10</v>
      </c>
      <c r="H31" s="276">
        <f t="shared" si="3"/>
        <v>1000</v>
      </c>
      <c r="I31" s="277">
        <f t="shared" si="4"/>
        <v>11400</v>
      </c>
      <c r="J31" s="55"/>
      <c r="L31" s="27"/>
    </row>
    <row r="32" spans="1:12" s="28" customFormat="1" ht="18.75">
      <c r="A32" s="90"/>
      <c r="B32" s="285" t="s">
        <v>191</v>
      </c>
      <c r="C32" s="272">
        <v>75</v>
      </c>
      <c r="D32" s="273" t="s">
        <v>180</v>
      </c>
      <c r="E32" s="274">
        <v>380</v>
      </c>
      <c r="F32" s="278">
        <f t="shared" si="2"/>
        <v>28500</v>
      </c>
      <c r="G32" s="275">
        <v>150</v>
      </c>
      <c r="H32" s="276">
        <f t="shared" si="3"/>
        <v>11250</v>
      </c>
      <c r="I32" s="277">
        <f t="shared" si="4"/>
        <v>39750</v>
      </c>
      <c r="J32" s="55"/>
      <c r="L32" s="27"/>
    </row>
    <row r="33" spans="1:12" s="28" customFormat="1" ht="18.75">
      <c r="A33" s="90"/>
      <c r="B33" s="285" t="s">
        <v>187</v>
      </c>
      <c r="C33" s="272">
        <v>1</v>
      </c>
      <c r="D33" s="273" t="s">
        <v>119</v>
      </c>
      <c r="E33" s="274">
        <v>55000</v>
      </c>
      <c r="F33" s="278">
        <f t="shared" si="2"/>
        <v>55000</v>
      </c>
      <c r="G33" s="275">
        <v>5000</v>
      </c>
      <c r="H33" s="276">
        <f t="shared" si="3"/>
        <v>5000</v>
      </c>
      <c r="I33" s="277">
        <f t="shared" si="4"/>
        <v>60000</v>
      </c>
      <c r="J33" s="55"/>
      <c r="L33" s="27"/>
    </row>
    <row r="34" spans="1:12" s="28" customFormat="1" ht="18.75">
      <c r="A34" s="90"/>
      <c r="B34" s="285" t="s">
        <v>184</v>
      </c>
      <c r="C34" s="272">
        <v>1</v>
      </c>
      <c r="D34" s="273" t="s">
        <v>119</v>
      </c>
      <c r="E34" s="274">
        <v>11250</v>
      </c>
      <c r="F34" s="278">
        <f t="shared" si="2"/>
        <v>11250</v>
      </c>
      <c r="G34" s="275">
        <v>100</v>
      </c>
      <c r="H34" s="276">
        <f t="shared" si="3"/>
        <v>100</v>
      </c>
      <c r="I34" s="277">
        <f t="shared" si="4"/>
        <v>11350</v>
      </c>
      <c r="J34" s="55"/>
      <c r="L34" s="27"/>
    </row>
    <row r="35" spans="1:12" s="28" customFormat="1" ht="18.75">
      <c r="A35" s="90"/>
      <c r="B35" s="285" t="s">
        <v>188</v>
      </c>
      <c r="C35" s="272">
        <v>1</v>
      </c>
      <c r="D35" s="273" t="s">
        <v>119</v>
      </c>
      <c r="E35" s="274">
        <v>10500</v>
      </c>
      <c r="F35" s="278">
        <f t="shared" si="2"/>
        <v>10500</v>
      </c>
      <c r="G35" s="275">
        <v>100</v>
      </c>
      <c r="H35" s="276">
        <f t="shared" si="3"/>
        <v>100</v>
      </c>
      <c r="I35" s="277">
        <f t="shared" si="4"/>
        <v>10600</v>
      </c>
      <c r="J35" s="55"/>
      <c r="L35" s="27"/>
    </row>
    <row r="36" spans="1:12" s="28" customFormat="1" ht="18.75">
      <c r="A36" s="90"/>
      <c r="B36" s="285" t="s">
        <v>190</v>
      </c>
      <c r="C36" s="272">
        <v>3</v>
      </c>
      <c r="D36" s="273" t="s">
        <v>119</v>
      </c>
      <c r="E36" s="274">
        <v>2350</v>
      </c>
      <c r="F36" s="278">
        <f t="shared" si="2"/>
        <v>7050</v>
      </c>
      <c r="G36" s="275">
        <v>100</v>
      </c>
      <c r="H36" s="276">
        <f t="shared" si="3"/>
        <v>300</v>
      </c>
      <c r="I36" s="277">
        <f t="shared" si="4"/>
        <v>7350</v>
      </c>
      <c r="J36" s="55"/>
      <c r="L36" s="27"/>
    </row>
    <row r="37" spans="1:12" s="28" customFormat="1" ht="18.75">
      <c r="A37" s="90"/>
      <c r="B37" s="286" t="s">
        <v>189</v>
      </c>
      <c r="C37" s="272">
        <v>1</v>
      </c>
      <c r="D37" s="273" t="s">
        <v>19</v>
      </c>
      <c r="E37" s="274">
        <v>2500</v>
      </c>
      <c r="F37" s="279">
        <f>E37*C37</f>
        <v>2500</v>
      </c>
      <c r="G37" s="275">
        <v>1500</v>
      </c>
      <c r="H37" s="276">
        <f t="shared" si="3"/>
        <v>1500</v>
      </c>
      <c r="I37" s="277">
        <f>F37+H37</f>
        <v>4000</v>
      </c>
      <c r="J37" s="55"/>
      <c r="L37" s="27"/>
    </row>
    <row r="38" spans="1:12" s="28" customFormat="1" ht="18.75">
      <c r="A38" s="90"/>
      <c r="B38" s="55"/>
      <c r="C38" s="207"/>
      <c r="D38" s="190"/>
      <c r="E38" s="191"/>
      <c r="F38" s="191"/>
      <c r="G38" s="191"/>
      <c r="H38" s="191"/>
      <c r="I38" s="192"/>
      <c r="J38" s="55"/>
      <c r="L38" s="27"/>
    </row>
    <row r="39" spans="1:12" s="28" customFormat="1" ht="18.75">
      <c r="A39" s="90"/>
      <c r="B39" s="55"/>
      <c r="C39" s="207"/>
      <c r="D39" s="190"/>
      <c r="E39" s="191"/>
      <c r="F39" s="191"/>
      <c r="G39" s="191"/>
      <c r="H39" s="191"/>
      <c r="I39" s="192"/>
      <c r="J39" s="55"/>
      <c r="L39" s="27"/>
    </row>
    <row r="40" spans="1:12" s="28" customFormat="1" ht="18.75">
      <c r="A40" s="90"/>
      <c r="B40" s="55"/>
      <c r="C40" s="207"/>
      <c r="D40" s="190"/>
      <c r="E40" s="191"/>
      <c r="F40" s="191"/>
      <c r="G40" s="191"/>
      <c r="H40" s="191"/>
      <c r="I40" s="192"/>
      <c r="J40" s="55"/>
      <c r="L40" s="27"/>
    </row>
    <row r="41" spans="1:12" s="28" customFormat="1" ht="18.75">
      <c r="A41" s="90"/>
      <c r="B41" s="55"/>
      <c r="C41" s="207"/>
      <c r="D41" s="190"/>
      <c r="E41" s="191"/>
      <c r="F41" s="191"/>
      <c r="G41" s="191"/>
      <c r="H41" s="191"/>
      <c r="I41" s="192"/>
      <c r="J41" s="55"/>
      <c r="L41" s="27"/>
    </row>
    <row r="42" spans="1:12" s="28" customFormat="1" ht="18.75">
      <c r="A42" s="90"/>
      <c r="B42" s="55"/>
      <c r="C42" s="207"/>
      <c r="D42" s="190"/>
      <c r="E42" s="191"/>
      <c r="F42" s="191"/>
      <c r="G42" s="191"/>
      <c r="H42" s="191"/>
      <c r="I42" s="192"/>
      <c r="J42" s="55"/>
      <c r="L42" s="27"/>
    </row>
    <row r="43" spans="1:12" s="28" customFormat="1" ht="18.75">
      <c r="A43" s="90"/>
      <c r="B43" s="55"/>
      <c r="C43" s="207"/>
      <c r="D43" s="190"/>
      <c r="E43" s="191"/>
      <c r="F43" s="191"/>
      <c r="G43" s="191"/>
      <c r="H43" s="191"/>
      <c r="I43" s="192"/>
      <c r="J43" s="55"/>
      <c r="L43" s="27"/>
    </row>
    <row r="44" spans="1:12" s="28" customFormat="1" ht="18.75">
      <c r="A44" s="90"/>
      <c r="B44" s="55"/>
      <c r="C44" s="207"/>
      <c r="D44" s="190"/>
      <c r="E44" s="191"/>
      <c r="F44" s="191"/>
      <c r="G44" s="191"/>
      <c r="H44" s="191"/>
      <c r="I44" s="192"/>
      <c r="J44" s="55"/>
      <c r="L44" s="27"/>
    </row>
    <row r="45" spans="1:12" s="28" customFormat="1" ht="18.75">
      <c r="A45" s="90"/>
      <c r="B45" s="55"/>
      <c r="C45" s="206"/>
      <c r="D45" s="190"/>
      <c r="E45" s="191"/>
      <c r="F45" s="191"/>
      <c r="G45" s="191"/>
      <c r="H45" s="191"/>
      <c r="I45" s="192"/>
      <c r="J45" s="55"/>
      <c r="L45" s="27"/>
    </row>
    <row r="46" spans="1:12" s="28" customFormat="1" ht="18.75">
      <c r="A46" s="90"/>
      <c r="B46" s="55"/>
      <c r="C46" s="206"/>
      <c r="D46" s="190"/>
      <c r="E46" s="191"/>
      <c r="F46" s="191"/>
      <c r="G46" s="191"/>
      <c r="H46" s="191"/>
      <c r="I46" s="192"/>
      <c r="J46" s="55"/>
      <c r="L46" s="27"/>
    </row>
    <row r="47" spans="1:12" s="10" customFormat="1">
      <c r="A47" s="94"/>
      <c r="B47" s="92" t="s">
        <v>18</v>
      </c>
      <c r="C47" s="86"/>
      <c r="D47" s="57"/>
      <c r="E47" s="59"/>
      <c r="F47" s="91">
        <f>SUM(F29:F46)</f>
        <v>391760</v>
      </c>
      <c r="G47" s="87"/>
      <c r="H47" s="91">
        <f>SUM(H29:H46)</f>
        <v>43050</v>
      </c>
      <c r="I47" s="54"/>
      <c r="J47" s="55"/>
      <c r="K47" s="61">
        <f>+H47+F47</f>
        <v>434810</v>
      </c>
      <c r="L47" s="8"/>
    </row>
    <row r="48" spans="1:12" s="10" customFormat="1" ht="19.5" thickBot="1">
      <c r="A48" s="94"/>
      <c r="B48" s="90" t="s">
        <v>80</v>
      </c>
      <c r="C48" s="86"/>
      <c r="D48" s="57"/>
      <c r="E48" s="59"/>
      <c r="F48" s="60"/>
      <c r="G48" s="87"/>
      <c r="H48" s="88"/>
      <c r="I48" s="67">
        <f>SUM(I29:I46)</f>
        <v>434810</v>
      </c>
      <c r="J48" s="55"/>
      <c r="K48" s="61"/>
      <c r="L48" s="8"/>
    </row>
    <row r="49" spans="11:12" ht="21.75" thickBot="1">
      <c r="K49" s="217">
        <f>+I48+I27</f>
        <v>919290</v>
      </c>
      <c r="L49" s="9" t="s">
        <v>157</v>
      </c>
    </row>
  </sheetData>
  <mergeCells count="3">
    <mergeCell ref="A1:J1"/>
    <mergeCell ref="E6:F6"/>
    <mergeCell ref="G6:H6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view="pageBreakPreview" zoomScaleNormal="100" zoomScaleSheetLayoutView="100" workbookViewId="0">
      <selection sqref="A1:J1"/>
    </sheetView>
  </sheetViews>
  <sheetFormatPr defaultColWidth="9.140625" defaultRowHeight="21"/>
  <cols>
    <col min="1" max="1" width="9.85546875" style="95" customWidth="1"/>
    <col min="2" max="2" width="56.140625" style="89" customWidth="1"/>
    <col min="3" max="3" width="8.5703125" style="89" customWidth="1"/>
    <col min="4" max="4" width="7" style="89" customWidth="1"/>
    <col min="5" max="8" width="11.7109375" style="89" customWidth="1"/>
    <col min="9" max="9" width="13.140625" style="89" customWidth="1"/>
    <col min="10" max="10" width="8.85546875" style="89" customWidth="1"/>
    <col min="11" max="11" width="12" style="89" customWidth="1"/>
    <col min="12" max="12" width="13.85546875" style="9" bestFit="1" customWidth="1"/>
    <col min="13" max="14" width="13.85546875" style="89" bestFit="1" customWidth="1"/>
    <col min="15" max="16384" width="9.140625" style="89"/>
  </cols>
  <sheetData>
    <row r="1" spans="1:12" s="8" customFormat="1" ht="18.75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 ht="18.75">
      <c r="A2" s="93" t="s">
        <v>86</v>
      </c>
      <c r="B2" s="138" t="str">
        <f>'ใบสรุปแบบ ปร.5 (ก) '!B2</f>
        <v>งานอาคาร</v>
      </c>
      <c r="C2" s="64"/>
      <c r="D2" s="63"/>
      <c r="E2" s="63"/>
      <c r="F2" s="62"/>
      <c r="G2" s="62"/>
      <c r="H2" s="65"/>
      <c r="I2" s="63"/>
      <c r="J2" s="63"/>
    </row>
    <row r="3" spans="1:12" s="8" customFormat="1" ht="18.75">
      <c r="A3" s="93" t="s">
        <v>87</v>
      </c>
      <c r="B3" s="138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C3" s="65" t="s">
        <v>14</v>
      </c>
      <c r="D3" s="138" t="str">
        <f>+'แบบ ปร.6'!B4</f>
        <v>62-2-101,63-5-006,62-4-030</v>
      </c>
      <c r="E3" s="100"/>
      <c r="F3" s="62"/>
      <c r="G3" s="62"/>
      <c r="H3" s="63"/>
      <c r="I3" s="63"/>
      <c r="J3" s="62"/>
    </row>
    <row r="4" spans="1:12" s="66" customFormat="1" ht="18.75">
      <c r="A4" s="93" t="s">
        <v>81</v>
      </c>
      <c r="B4" s="138" t="str">
        <f>+'แบบ ปร.6'!B3</f>
        <v>จ.ชลบุรี</v>
      </c>
      <c r="C4" s="62" t="s">
        <v>84</v>
      </c>
      <c r="D4" s="62"/>
      <c r="F4" s="137" t="str">
        <f>+'แบบ ปร.6'!C5</f>
        <v>สอ.รฝ.</v>
      </c>
      <c r="G4" s="63"/>
      <c r="H4" s="63"/>
      <c r="I4" s="63"/>
      <c r="J4" s="63"/>
    </row>
    <row r="5" spans="1:12" s="66" customFormat="1" ht="19.5" thickBot="1">
      <c r="A5" s="205" t="s">
        <v>149</v>
      </c>
      <c r="B5" s="136" t="s">
        <v>151</v>
      </c>
      <c r="C5" s="125">
        <f>+'แบบ ปร.6'!B7</f>
        <v>0</v>
      </c>
      <c r="D5" s="136"/>
      <c r="E5" s="125"/>
      <c r="F5" s="125"/>
      <c r="G5" s="125"/>
      <c r="H5" s="125"/>
      <c r="I5" s="126"/>
      <c r="J5" s="126"/>
    </row>
    <row r="6" spans="1:12" s="10" customFormat="1" ht="19.5" thickTop="1">
      <c r="A6" s="120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  <c r="L6" s="8"/>
    </row>
    <row r="7" spans="1:12" s="10" customFormat="1" ht="19.5" thickBot="1">
      <c r="A7" s="12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L7" s="8"/>
    </row>
    <row r="8" spans="1:12" s="10" customFormat="1" ht="19.5" thickTop="1">
      <c r="A8" s="118"/>
      <c r="B8" s="189" t="s">
        <v>156</v>
      </c>
      <c r="C8" s="68"/>
      <c r="D8" s="69"/>
      <c r="E8" s="127"/>
      <c r="F8" s="127"/>
      <c r="G8" s="127"/>
      <c r="H8" s="128"/>
      <c r="I8" s="53"/>
      <c r="J8" s="69"/>
      <c r="L8" s="8"/>
    </row>
    <row r="9" spans="1:12" s="10" customFormat="1" ht="18.75">
      <c r="A9" s="90"/>
      <c r="B9" s="80" t="s">
        <v>78</v>
      </c>
      <c r="C9" s="57"/>
      <c r="D9" s="57"/>
      <c r="E9" s="81"/>
      <c r="F9" s="81"/>
      <c r="G9" s="81"/>
      <c r="H9" s="81"/>
      <c r="I9" s="54"/>
      <c r="J9" s="55"/>
      <c r="L9" s="8"/>
    </row>
    <row r="10" spans="1:12" s="28" customFormat="1" ht="18.75">
      <c r="A10" s="90"/>
      <c r="B10" s="56"/>
      <c r="C10" s="82"/>
      <c r="D10" s="57"/>
      <c r="E10" s="83"/>
      <c r="F10" s="83"/>
      <c r="G10" s="60"/>
      <c r="H10" s="60"/>
      <c r="I10" s="54"/>
      <c r="J10" s="55"/>
      <c r="L10" s="27"/>
    </row>
    <row r="11" spans="1:12" s="28" customFormat="1" ht="18.75">
      <c r="A11" s="90"/>
      <c r="B11" s="56"/>
      <c r="C11" s="57"/>
      <c r="D11" s="57"/>
      <c r="E11" s="60"/>
      <c r="F11" s="60"/>
      <c r="G11" s="84"/>
      <c r="H11" s="85"/>
      <c r="I11" s="54"/>
      <c r="J11" s="55"/>
      <c r="L11" s="27"/>
    </row>
    <row r="12" spans="1:12" s="28" customFormat="1" ht="18.75">
      <c r="A12" s="90"/>
      <c r="B12" s="56"/>
      <c r="C12" s="86"/>
      <c r="D12" s="57"/>
      <c r="E12" s="60"/>
      <c r="F12" s="60"/>
      <c r="G12" s="60"/>
      <c r="H12" s="60"/>
      <c r="I12" s="54"/>
      <c r="J12" s="55"/>
      <c r="L12" s="27"/>
    </row>
    <row r="13" spans="1:12" s="28" customFormat="1" ht="18.75">
      <c r="A13" s="90"/>
      <c r="B13" s="56"/>
      <c r="C13" s="57"/>
      <c r="D13" s="57"/>
      <c r="E13" s="59"/>
      <c r="F13" s="60"/>
      <c r="G13" s="60"/>
      <c r="H13" s="60"/>
      <c r="I13" s="54"/>
      <c r="J13" s="55"/>
      <c r="L13" s="27"/>
    </row>
    <row r="14" spans="1:12" s="28" customFormat="1" ht="18.75">
      <c r="A14" s="90"/>
      <c r="B14" s="56"/>
      <c r="C14" s="82"/>
      <c r="D14" s="57"/>
      <c r="E14" s="59"/>
      <c r="F14" s="60"/>
      <c r="G14" s="60"/>
      <c r="H14" s="60"/>
      <c r="I14" s="54"/>
      <c r="J14" s="55"/>
      <c r="L14" s="27"/>
    </row>
    <row r="15" spans="1:12" s="28" customFormat="1" ht="18.75">
      <c r="A15" s="90"/>
      <c r="B15" s="56"/>
      <c r="C15" s="82"/>
      <c r="D15" s="57"/>
      <c r="E15" s="59"/>
      <c r="F15" s="60"/>
      <c r="G15" s="60"/>
      <c r="H15" s="60"/>
      <c r="I15" s="54"/>
      <c r="J15" s="55"/>
      <c r="L15" s="27"/>
    </row>
    <row r="16" spans="1:12" s="28" customFormat="1" ht="18.75">
      <c r="A16" s="90"/>
      <c r="B16" s="56"/>
      <c r="C16" s="82"/>
      <c r="D16" s="70"/>
      <c r="E16" s="59"/>
      <c r="F16" s="60"/>
      <c r="G16" s="60"/>
      <c r="H16" s="60"/>
      <c r="I16" s="54"/>
      <c r="J16" s="55"/>
      <c r="L16" s="27"/>
    </row>
    <row r="17" spans="1:12" s="28" customFormat="1" ht="18.75">
      <c r="A17" s="90"/>
      <c r="B17" s="56"/>
      <c r="C17" s="57"/>
      <c r="D17" s="70"/>
      <c r="E17" s="59"/>
      <c r="F17" s="60"/>
      <c r="G17" s="60"/>
      <c r="H17" s="60"/>
      <c r="I17" s="54"/>
      <c r="J17" s="55"/>
      <c r="L17" s="27"/>
    </row>
    <row r="18" spans="1:12" s="28" customFormat="1" ht="18.75">
      <c r="A18" s="90"/>
      <c r="B18" s="56"/>
      <c r="C18" s="82"/>
      <c r="D18" s="57"/>
      <c r="E18" s="59"/>
      <c r="F18" s="60"/>
      <c r="G18" s="84"/>
      <c r="H18" s="85"/>
      <c r="I18" s="54"/>
      <c r="J18" s="55"/>
      <c r="L18" s="27"/>
    </row>
    <row r="19" spans="1:12" s="10" customFormat="1" ht="18.75">
      <c r="A19" s="90"/>
      <c r="B19" s="56"/>
      <c r="C19" s="57"/>
      <c r="D19" s="57"/>
      <c r="E19" s="59"/>
      <c r="F19" s="60"/>
      <c r="G19" s="83"/>
      <c r="H19" s="83"/>
      <c r="I19" s="54"/>
      <c r="J19" s="55"/>
      <c r="L19" s="8"/>
    </row>
    <row r="20" spans="1:12" s="10" customFormat="1" ht="18.75">
      <c r="A20" s="90"/>
      <c r="B20" s="56"/>
      <c r="C20" s="82"/>
      <c r="D20" s="57"/>
      <c r="E20" s="59"/>
      <c r="F20" s="60"/>
      <c r="G20" s="83"/>
      <c r="H20" s="83"/>
      <c r="I20" s="54"/>
      <c r="J20" s="55"/>
      <c r="L20" s="8"/>
    </row>
    <row r="21" spans="1:12" s="10" customFormat="1" ht="18.75">
      <c r="A21" s="90"/>
      <c r="B21" s="56"/>
      <c r="C21" s="57"/>
      <c r="D21" s="57"/>
      <c r="E21" s="59"/>
      <c r="F21" s="60"/>
      <c r="G21" s="58"/>
      <c r="H21" s="58"/>
      <c r="I21" s="54"/>
      <c r="J21" s="55"/>
      <c r="L21" s="8"/>
    </row>
    <row r="22" spans="1:12" s="28" customFormat="1" ht="18.75">
      <c r="A22" s="90"/>
      <c r="B22" s="56"/>
      <c r="C22" s="86"/>
      <c r="D22" s="57"/>
      <c r="E22" s="59"/>
      <c r="F22" s="60"/>
      <c r="G22" s="84"/>
      <c r="H22" s="85"/>
      <c r="I22" s="54"/>
      <c r="J22" s="55"/>
      <c r="L22" s="27"/>
    </row>
    <row r="23" spans="1:12" s="28" customFormat="1" ht="18.75">
      <c r="A23" s="90"/>
      <c r="B23" s="56"/>
      <c r="C23" s="86"/>
      <c r="D23" s="57"/>
      <c r="E23" s="59"/>
      <c r="F23" s="60"/>
      <c r="G23" s="84"/>
      <c r="H23" s="85"/>
      <c r="I23" s="54"/>
      <c r="J23" s="55"/>
      <c r="L23" s="27"/>
    </row>
    <row r="24" spans="1:12" s="10" customFormat="1" ht="18.75">
      <c r="A24" s="90"/>
      <c r="B24" s="56"/>
      <c r="C24" s="86"/>
      <c r="D24" s="57"/>
      <c r="E24" s="59"/>
      <c r="F24" s="60"/>
      <c r="G24" s="84"/>
      <c r="H24" s="85"/>
      <c r="I24" s="54"/>
      <c r="J24" s="55"/>
      <c r="L24" s="8"/>
    </row>
    <row r="25" spans="1:12" s="10" customFormat="1" ht="18.75">
      <c r="A25" s="90"/>
      <c r="B25" s="56"/>
      <c r="C25" s="86"/>
      <c r="D25" s="57"/>
      <c r="E25" s="59"/>
      <c r="F25" s="60"/>
      <c r="G25" s="84"/>
      <c r="H25" s="85"/>
      <c r="I25" s="54"/>
      <c r="J25" s="55"/>
      <c r="L25" s="8"/>
    </row>
    <row r="26" spans="1:12" s="10" customFormat="1" ht="18.75">
      <c r="A26" s="90"/>
      <c r="B26" s="56"/>
      <c r="C26" s="86"/>
      <c r="D26" s="57"/>
      <c r="E26" s="59"/>
      <c r="F26" s="60"/>
      <c r="G26" s="84"/>
      <c r="H26" s="85"/>
      <c r="I26" s="54"/>
      <c r="J26" s="55"/>
      <c r="K26" s="61"/>
      <c r="L26" s="8"/>
    </row>
    <row r="27" spans="1:12" s="10" customFormat="1" ht="18.75">
      <c r="A27" s="94"/>
      <c r="B27" s="56"/>
      <c r="C27" s="86"/>
      <c r="D27" s="57"/>
      <c r="E27" s="59"/>
      <c r="F27" s="60"/>
      <c r="G27" s="84"/>
      <c r="H27" s="85"/>
      <c r="I27" s="54"/>
      <c r="J27" s="55"/>
      <c r="K27" s="61"/>
      <c r="L27" s="8"/>
    </row>
    <row r="28" spans="1:12" s="10" customFormat="1" ht="18.75">
      <c r="A28" s="94"/>
      <c r="B28" s="56"/>
      <c r="C28" s="86"/>
      <c r="D28" s="57"/>
      <c r="E28" s="59"/>
      <c r="F28" s="60"/>
      <c r="G28" s="84"/>
      <c r="H28" s="85"/>
      <c r="I28" s="54"/>
      <c r="J28" s="55"/>
      <c r="K28" s="61"/>
      <c r="L28" s="8"/>
    </row>
    <row r="29" spans="1:12" s="10" customFormat="1">
      <c r="A29" s="94"/>
      <c r="B29" s="92" t="s">
        <v>18</v>
      </c>
      <c r="C29" s="86"/>
      <c r="D29" s="57"/>
      <c r="E29" s="59"/>
      <c r="F29" s="91">
        <f>SUM(F10:F28)</f>
        <v>0</v>
      </c>
      <c r="G29" s="87"/>
      <c r="H29" s="91">
        <f>SUM(H10:H28)</f>
        <v>0</v>
      </c>
      <c r="I29" s="54"/>
      <c r="J29" s="55"/>
      <c r="K29" s="61">
        <f>+H29+F29</f>
        <v>0</v>
      </c>
      <c r="L29" s="8"/>
    </row>
    <row r="30" spans="1:12" s="10" customFormat="1" ht="18.75">
      <c r="A30" s="94"/>
      <c r="B30" s="90" t="s">
        <v>80</v>
      </c>
      <c r="C30" s="86"/>
      <c r="D30" s="57"/>
      <c r="E30" s="59"/>
      <c r="F30" s="60"/>
      <c r="G30" s="87"/>
      <c r="H30" s="88"/>
      <c r="I30" s="67">
        <f>SUM(I10:I28)</f>
        <v>0</v>
      </c>
      <c r="J30" s="55"/>
      <c r="K30" s="61"/>
      <c r="L30" s="8"/>
    </row>
  </sheetData>
  <mergeCells count="3">
    <mergeCell ref="A1:J1"/>
    <mergeCell ref="E6:F6"/>
    <mergeCell ref="G6:H6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70"/>
  <sheetViews>
    <sheetView view="pageBreakPreview" topLeftCell="B115" zoomScale="115" zoomScaleNormal="100" zoomScaleSheetLayoutView="115" workbookViewId="0">
      <selection activeCell="I124" sqref="I124"/>
    </sheetView>
  </sheetViews>
  <sheetFormatPr defaultColWidth="9.140625" defaultRowHeight="18.75"/>
  <cols>
    <col min="1" max="1" width="10.42578125" style="469" customWidth="1"/>
    <col min="2" max="2" width="56.140625" style="10" customWidth="1"/>
    <col min="3" max="3" width="8.5703125" style="10" customWidth="1"/>
    <col min="4" max="4" width="7" style="10" customWidth="1"/>
    <col min="5" max="6" width="12.42578125" style="10" bestFit="1" customWidth="1"/>
    <col min="7" max="8" width="11.7109375" style="10" customWidth="1"/>
    <col min="9" max="9" width="13.140625" style="10" customWidth="1"/>
    <col min="10" max="10" width="8.85546875" style="10" customWidth="1"/>
    <col min="11" max="11" width="12" style="10" customWidth="1"/>
    <col min="12" max="12" width="13.85546875" style="8" bestFit="1" customWidth="1"/>
    <col min="13" max="14" width="13.85546875" style="10" bestFit="1" customWidth="1"/>
    <col min="15" max="16384" width="9.140625" style="10"/>
  </cols>
  <sheetData>
    <row r="1" spans="1:12" s="8" customFormat="1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>
      <c r="A2" s="64" t="s">
        <v>86</v>
      </c>
      <c r="B2" s="62" t="str">
        <f>'ใบสรุปแบบ ปร.5 (ก) '!B2</f>
        <v>งานอาคาร</v>
      </c>
      <c r="C2" s="65" t="s">
        <v>14</v>
      </c>
      <c r="D2" s="62" t="str">
        <f>+'แบบ ปร.6'!B4</f>
        <v>62-2-101,63-5-006,62-4-030</v>
      </c>
      <c r="E2" s="63"/>
      <c r="F2" s="62"/>
      <c r="G2" s="62"/>
      <c r="H2" s="65"/>
      <c r="I2" s="63"/>
      <c r="J2" s="63"/>
    </row>
    <row r="3" spans="1:12" s="8" customFormat="1">
      <c r="A3" s="64" t="s">
        <v>87</v>
      </c>
      <c r="B3" s="62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E3" s="100"/>
      <c r="F3" s="62"/>
      <c r="G3" s="62"/>
      <c r="H3" s="63"/>
      <c r="I3" s="63"/>
      <c r="J3" s="62"/>
    </row>
    <row r="4" spans="1:12" s="66" customFormat="1">
      <c r="A4" s="64" t="s">
        <v>81</v>
      </c>
      <c r="B4" s="62" t="str">
        <f>+'แบบ ปร.6'!B3</f>
        <v>จ.ชลบุรี</v>
      </c>
      <c r="C4" s="62" t="s">
        <v>84</v>
      </c>
      <c r="D4" s="62"/>
      <c r="F4" s="63"/>
      <c r="G4" s="63"/>
      <c r="H4" s="63"/>
      <c r="I4" s="63"/>
      <c r="J4" s="63"/>
    </row>
    <row r="5" spans="1:12" s="66" customFormat="1" ht="19.5" thickBot="1">
      <c r="A5" s="408"/>
      <c r="B5" s="125"/>
      <c r="C5" s="125"/>
      <c r="D5" s="125"/>
      <c r="E5" s="125"/>
      <c r="F5" s="125"/>
      <c r="G5" s="125"/>
      <c r="H5" s="125"/>
      <c r="I5" s="126"/>
      <c r="J5" s="126"/>
    </row>
    <row r="6" spans="1:12" ht="19.5" thickTop="1">
      <c r="A6" s="121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</row>
    <row r="7" spans="1:12" ht="19.5" thickBot="1">
      <c r="A7" s="40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K7" s="61">
        <f>+I86+I99+I117+I142</f>
        <v>22660</v>
      </c>
    </row>
    <row r="8" spans="1:12" ht="19.5" customHeight="1" thickTop="1">
      <c r="A8" s="410"/>
      <c r="B8" s="472" t="s">
        <v>386</v>
      </c>
      <c r="C8" s="473"/>
      <c r="D8" s="427"/>
      <c r="E8" s="474"/>
      <c r="F8" s="474"/>
      <c r="G8" s="60"/>
      <c r="H8" s="60"/>
      <c r="I8" s="193"/>
      <c r="J8" s="69"/>
    </row>
    <row r="9" spans="1:12" s="445" customFormat="1" ht="18.95" customHeight="1">
      <c r="A9" s="56"/>
      <c r="B9" s="475" t="s">
        <v>302</v>
      </c>
      <c r="C9" s="476"/>
      <c r="D9" s="477"/>
      <c r="E9" s="478"/>
      <c r="F9" s="479"/>
      <c r="G9" s="480"/>
      <c r="H9" s="480"/>
      <c r="I9" s="481"/>
      <c r="J9" s="56"/>
      <c r="L9" s="482"/>
    </row>
    <row r="10" spans="1:12" s="445" customFormat="1" ht="19.5" customHeight="1">
      <c r="A10" s="57"/>
      <c r="B10" s="475" t="s">
        <v>303</v>
      </c>
      <c r="C10" s="483">
        <v>14</v>
      </c>
      <c r="D10" s="477" t="s">
        <v>119</v>
      </c>
      <c r="E10" s="415">
        <v>1990</v>
      </c>
      <c r="F10" s="484">
        <f t="shared" ref="F10" si="0">SUM(C10*E10)</f>
        <v>27860</v>
      </c>
      <c r="G10" s="485">
        <v>150</v>
      </c>
      <c r="H10" s="485">
        <f t="shared" ref="H10" si="1">SUM(C10*G10)</f>
        <v>2100</v>
      </c>
      <c r="I10" s="486">
        <f>SUM(F10+H10)</f>
        <v>29960</v>
      </c>
      <c r="J10" s="56"/>
    </row>
    <row r="11" spans="1:12" s="445" customFormat="1" ht="20.100000000000001" customHeight="1">
      <c r="A11" s="57"/>
      <c r="B11" s="475" t="s">
        <v>304</v>
      </c>
      <c r="C11" s="476"/>
      <c r="D11" s="477"/>
      <c r="E11" s="81"/>
      <c r="F11" s="484"/>
      <c r="G11" s="485"/>
      <c r="H11" s="485"/>
      <c r="I11" s="486"/>
      <c r="J11" s="56"/>
    </row>
    <row r="12" spans="1:12" s="445" customFormat="1" ht="19.5" customHeight="1">
      <c r="A12" s="56"/>
      <c r="B12" s="475" t="s">
        <v>305</v>
      </c>
      <c r="C12" s="483">
        <v>2</v>
      </c>
      <c r="D12" s="477" t="s">
        <v>119</v>
      </c>
      <c r="E12" s="415">
        <v>980</v>
      </c>
      <c r="F12" s="484">
        <f t="shared" ref="F12" si="2">SUM(C12*E12)</f>
        <v>1960</v>
      </c>
      <c r="G12" s="485">
        <v>135</v>
      </c>
      <c r="H12" s="485">
        <f t="shared" ref="H12" si="3">SUM(C12*G12)</f>
        <v>270</v>
      </c>
      <c r="I12" s="486">
        <f>SUM(F12+H12)</f>
        <v>2230</v>
      </c>
      <c r="J12" s="56"/>
    </row>
    <row r="13" spans="1:12" s="445" customFormat="1" ht="20.100000000000001" customHeight="1">
      <c r="A13" s="57"/>
      <c r="B13" s="475" t="s">
        <v>306</v>
      </c>
      <c r="C13" s="483"/>
      <c r="D13" s="477"/>
      <c r="E13" s="415"/>
      <c r="F13" s="484"/>
      <c r="G13" s="485"/>
      <c r="H13" s="485"/>
      <c r="I13" s="486"/>
      <c r="J13" s="56"/>
    </row>
    <row r="14" spans="1:12" s="445" customFormat="1" ht="19.5" customHeight="1">
      <c r="A14" s="412"/>
      <c r="B14" s="475" t="s">
        <v>307</v>
      </c>
      <c r="C14" s="483">
        <v>44</v>
      </c>
      <c r="D14" s="477" t="s">
        <v>119</v>
      </c>
      <c r="E14" s="415">
        <v>690</v>
      </c>
      <c r="F14" s="484">
        <f t="shared" ref="F14" si="4">SUM(C14*E14)</f>
        <v>30360</v>
      </c>
      <c r="G14" s="485">
        <v>165</v>
      </c>
      <c r="H14" s="485">
        <f t="shared" ref="H14" si="5">SUM(C14*G14)</f>
        <v>7260</v>
      </c>
      <c r="I14" s="486">
        <f>SUM(F14+H14)</f>
        <v>37620</v>
      </c>
      <c r="J14" s="56"/>
    </row>
    <row r="15" spans="1:12" s="445" customFormat="1" ht="20.100000000000001" customHeight="1">
      <c r="A15" s="57"/>
      <c r="B15" s="475" t="s">
        <v>306</v>
      </c>
      <c r="C15" s="483"/>
      <c r="D15" s="477"/>
      <c r="E15" s="415"/>
      <c r="F15" s="484"/>
      <c r="G15" s="485"/>
      <c r="H15" s="485"/>
      <c r="I15" s="486"/>
      <c r="J15" s="56"/>
    </row>
    <row r="16" spans="1:12" s="445" customFormat="1" ht="19.5" customHeight="1">
      <c r="A16" s="56"/>
      <c r="B16" s="475" t="s">
        <v>308</v>
      </c>
      <c r="C16" s="483">
        <v>22</v>
      </c>
      <c r="D16" s="477" t="s">
        <v>119</v>
      </c>
      <c r="E16" s="415">
        <v>490</v>
      </c>
      <c r="F16" s="484">
        <f t="shared" ref="F16" si="6">SUM(C16*E16)</f>
        <v>10780</v>
      </c>
      <c r="G16" s="485">
        <v>115</v>
      </c>
      <c r="H16" s="485">
        <f t="shared" ref="H16" si="7">SUM(C16*G16)</f>
        <v>2530</v>
      </c>
      <c r="I16" s="486">
        <f>SUM(F16+H16)</f>
        <v>13310</v>
      </c>
      <c r="J16" s="56"/>
    </row>
    <row r="17" spans="1:12" s="445" customFormat="1" ht="18.95" customHeight="1">
      <c r="A17" s="56"/>
      <c r="B17" s="487" t="s">
        <v>710</v>
      </c>
      <c r="C17" s="488"/>
      <c r="D17" s="489"/>
      <c r="E17" s="484"/>
      <c r="F17" s="484"/>
      <c r="G17" s="485"/>
      <c r="H17" s="485"/>
      <c r="I17" s="486"/>
      <c r="J17" s="56"/>
      <c r="L17" s="482"/>
    </row>
    <row r="18" spans="1:12" s="445" customFormat="1" ht="19.5" customHeight="1">
      <c r="A18" s="57"/>
      <c r="B18" s="56" t="s">
        <v>709</v>
      </c>
      <c r="C18" s="488">
        <v>52</v>
      </c>
      <c r="D18" s="489" t="s">
        <v>119</v>
      </c>
      <c r="E18" s="484">
        <v>500</v>
      </c>
      <c r="F18" s="484">
        <f t="shared" ref="F18" si="8">SUM(C18*E18)</f>
        <v>26000</v>
      </c>
      <c r="G18" s="485">
        <v>115</v>
      </c>
      <c r="H18" s="485">
        <f t="shared" ref="H18:H19" si="9">SUM(C18*G18)</f>
        <v>5980</v>
      </c>
      <c r="I18" s="486">
        <f>SUM(F18+H18)</f>
        <v>31980</v>
      </c>
      <c r="J18" s="56"/>
    </row>
    <row r="19" spans="1:12" s="445" customFormat="1" ht="19.5" customHeight="1">
      <c r="A19" s="57"/>
      <c r="B19" s="490" t="s">
        <v>378</v>
      </c>
      <c r="C19" s="483">
        <v>2</v>
      </c>
      <c r="D19" s="477" t="s">
        <v>119</v>
      </c>
      <c r="E19" s="415">
        <v>3000</v>
      </c>
      <c r="F19" s="415">
        <f>C19*E19</f>
        <v>6000</v>
      </c>
      <c r="G19" s="485">
        <v>165</v>
      </c>
      <c r="H19" s="485">
        <f t="shared" si="9"/>
        <v>330</v>
      </c>
      <c r="I19" s="486">
        <f>SUM(F19+H19)</f>
        <v>6330</v>
      </c>
      <c r="J19" s="56"/>
    </row>
    <row r="20" spans="1:12" s="494" customFormat="1" ht="19.5" customHeight="1">
      <c r="A20" s="491"/>
      <c r="B20" s="492" t="s">
        <v>379</v>
      </c>
      <c r="C20" s="488">
        <v>12</v>
      </c>
      <c r="D20" s="489" t="s">
        <v>119</v>
      </c>
      <c r="E20" s="484">
        <v>1150</v>
      </c>
      <c r="F20" s="484">
        <f t="shared" ref="F20" si="10">SUM(C20*E20)</f>
        <v>13800</v>
      </c>
      <c r="G20" s="485">
        <v>115</v>
      </c>
      <c r="H20" s="485">
        <f>SUM(C20*G20)</f>
        <v>1380</v>
      </c>
      <c r="I20" s="486">
        <f>SUM(F20+H20)</f>
        <v>15180</v>
      </c>
      <c r="J20" s="493"/>
      <c r="L20" s="495"/>
    </row>
    <row r="21" spans="1:12" s="445" customFormat="1" ht="19.5" customHeight="1">
      <c r="A21" s="57"/>
      <c r="B21" s="496" t="s">
        <v>380</v>
      </c>
      <c r="C21" s="497">
        <v>3</v>
      </c>
      <c r="D21" s="70" t="s">
        <v>119</v>
      </c>
      <c r="E21" s="498">
        <v>1500</v>
      </c>
      <c r="F21" s="415">
        <f t="shared" ref="F21:F23" si="11">C21*E21</f>
        <v>4500</v>
      </c>
      <c r="G21" s="415">
        <v>200</v>
      </c>
      <c r="H21" s="415">
        <f>SUM(G21*C21)</f>
        <v>600</v>
      </c>
      <c r="I21" s="416">
        <f>SUM(H21+F21)</f>
        <v>5100</v>
      </c>
      <c r="J21" s="56"/>
    </row>
    <row r="22" spans="1:12" s="445" customFormat="1" ht="19.5" customHeight="1">
      <c r="A22" s="57"/>
      <c r="B22" s="56" t="s">
        <v>381</v>
      </c>
      <c r="C22" s="497">
        <v>1</v>
      </c>
      <c r="D22" s="70" t="s">
        <v>119</v>
      </c>
      <c r="E22" s="498">
        <v>2600</v>
      </c>
      <c r="F22" s="415">
        <f t="shared" si="11"/>
        <v>2600</v>
      </c>
      <c r="G22" s="415">
        <v>200</v>
      </c>
      <c r="H22" s="415">
        <f>SUM(G22*C22)</f>
        <v>200</v>
      </c>
      <c r="I22" s="416">
        <f>SUM(H22+F22)</f>
        <v>2800</v>
      </c>
      <c r="J22" s="56"/>
    </row>
    <row r="23" spans="1:12" s="494" customFormat="1" ht="19.5" customHeight="1">
      <c r="A23" s="491"/>
      <c r="B23" s="56" t="s">
        <v>309</v>
      </c>
      <c r="C23" s="483">
        <v>102</v>
      </c>
      <c r="D23" s="477" t="s">
        <v>119</v>
      </c>
      <c r="E23" s="416">
        <v>60</v>
      </c>
      <c r="F23" s="415">
        <f t="shared" si="11"/>
        <v>6120</v>
      </c>
      <c r="G23" s="415">
        <v>80</v>
      </c>
      <c r="H23" s="415">
        <f>SUM(G23*C23)</f>
        <v>8160</v>
      </c>
      <c r="I23" s="416">
        <f>SUM(H23+F23)</f>
        <v>14280</v>
      </c>
      <c r="J23" s="493"/>
      <c r="L23" s="495"/>
    </row>
    <row r="24" spans="1:12" s="445" customFormat="1" ht="19.5" customHeight="1">
      <c r="A24" s="57"/>
      <c r="B24" s="56" t="s">
        <v>310</v>
      </c>
      <c r="C24" s="499">
        <v>2</v>
      </c>
      <c r="D24" s="500" t="s">
        <v>119</v>
      </c>
      <c r="E24" s="81">
        <v>96</v>
      </c>
      <c r="F24" s="81">
        <f>SUM(C24*E24)</f>
        <v>192</v>
      </c>
      <c r="G24" s="485">
        <v>85</v>
      </c>
      <c r="H24" s="485">
        <f t="shared" ref="H24" si="12">SUM(C24*G24)</f>
        <v>170</v>
      </c>
      <c r="I24" s="486">
        <f>SUM(F24+H24)</f>
        <v>362</v>
      </c>
      <c r="J24" s="56"/>
    </row>
    <row r="25" spans="1:12" s="445" customFormat="1" ht="19.5" customHeight="1">
      <c r="A25" s="412"/>
      <c r="B25" s="56"/>
      <c r="C25" s="501"/>
      <c r="D25" s="70"/>
      <c r="E25" s="415"/>
      <c r="F25" s="81"/>
      <c r="G25" s="415"/>
      <c r="H25" s="415"/>
      <c r="I25" s="416"/>
      <c r="J25" s="56"/>
    </row>
    <row r="26" spans="1:12" ht="19.5" customHeight="1">
      <c r="A26" s="432"/>
      <c r="B26" s="57" t="s">
        <v>18</v>
      </c>
      <c r="C26" s="86"/>
      <c r="D26" s="57"/>
      <c r="E26" s="81"/>
      <c r="F26" s="433">
        <f>SUM(F10:F25)</f>
        <v>130172</v>
      </c>
      <c r="G26" s="434"/>
      <c r="H26" s="433">
        <f>SUM(H10:H25)</f>
        <v>28980</v>
      </c>
      <c r="I26" s="416"/>
      <c r="J26" s="55"/>
      <c r="K26" s="502">
        <f>+H26+F26</f>
        <v>159152</v>
      </c>
    </row>
    <row r="27" spans="1:12" ht="19.5" customHeight="1">
      <c r="A27" s="432"/>
      <c r="B27" s="412" t="s">
        <v>80</v>
      </c>
      <c r="C27" s="86"/>
      <c r="D27" s="57"/>
      <c r="E27" s="81"/>
      <c r="F27" s="415"/>
      <c r="G27" s="434"/>
      <c r="H27" s="435"/>
      <c r="I27" s="503">
        <f>SUM(I10:I25)</f>
        <v>159152</v>
      </c>
      <c r="J27" s="55"/>
      <c r="K27" s="61"/>
    </row>
    <row r="28" spans="1:12" s="445" customFormat="1" ht="19.5" customHeight="1">
      <c r="A28" s="412"/>
      <c r="B28" s="472" t="s">
        <v>386</v>
      </c>
      <c r="C28" s="504"/>
      <c r="D28" s="427"/>
      <c r="E28" s="417"/>
      <c r="F28" s="505"/>
      <c r="G28" s="505"/>
      <c r="H28" s="506"/>
      <c r="I28" s="416"/>
      <c r="J28" s="56"/>
    </row>
    <row r="29" spans="1:12" s="445" customFormat="1" ht="19.5" customHeight="1">
      <c r="A29" s="412"/>
      <c r="B29" s="56" t="s">
        <v>311</v>
      </c>
      <c r="C29" s="501">
        <v>111</v>
      </c>
      <c r="D29" s="70" t="s">
        <v>119</v>
      </c>
      <c r="E29" s="415">
        <v>200</v>
      </c>
      <c r="F29" s="81">
        <f>SUM(C29*E29)</f>
        <v>22200</v>
      </c>
      <c r="G29" s="415">
        <v>90</v>
      </c>
      <c r="H29" s="415">
        <f>SUM(G29*C29)</f>
        <v>9990</v>
      </c>
      <c r="I29" s="416">
        <f>SUM(H29+F29)</f>
        <v>32190</v>
      </c>
      <c r="J29" s="56"/>
    </row>
    <row r="30" spans="1:12" s="445" customFormat="1" ht="19.5" customHeight="1">
      <c r="A30" s="412"/>
      <c r="B30" s="421" t="s">
        <v>312</v>
      </c>
      <c r="C30" s="501">
        <v>22</v>
      </c>
      <c r="D30" s="70" t="s">
        <v>119</v>
      </c>
      <c r="E30" s="415">
        <v>450</v>
      </c>
      <c r="F30" s="81">
        <f>SUM(C30*E30)</f>
        <v>9900</v>
      </c>
      <c r="G30" s="415">
        <v>115</v>
      </c>
      <c r="H30" s="415">
        <f>SUM(G30*C30)</f>
        <v>2530</v>
      </c>
      <c r="I30" s="416">
        <f>SUM(H30+F30)</f>
        <v>12430</v>
      </c>
      <c r="J30" s="56"/>
    </row>
    <row r="31" spans="1:12" s="445" customFormat="1" ht="19.5" customHeight="1">
      <c r="A31" s="412"/>
      <c r="B31" s="56" t="s">
        <v>313</v>
      </c>
      <c r="C31" s="507"/>
      <c r="D31" s="70"/>
      <c r="E31" s="415"/>
      <c r="F31" s="415"/>
      <c r="G31" s="415"/>
      <c r="H31" s="415"/>
      <c r="I31" s="416"/>
      <c r="J31" s="56"/>
    </row>
    <row r="32" spans="1:12" s="445" customFormat="1" ht="19.5" customHeight="1">
      <c r="A32" s="57"/>
      <c r="B32" s="56" t="s">
        <v>314</v>
      </c>
      <c r="C32" s="501">
        <v>4</v>
      </c>
      <c r="D32" s="70" t="s">
        <v>119</v>
      </c>
      <c r="E32" s="415">
        <v>110</v>
      </c>
      <c r="F32" s="415">
        <f>C32*E32</f>
        <v>440</v>
      </c>
      <c r="G32" s="415">
        <v>90</v>
      </c>
      <c r="H32" s="415">
        <f t="shared" ref="H32:H33" si="13">SUM(G32*C32)</f>
        <v>360</v>
      </c>
      <c r="I32" s="416">
        <f>SUM(H32+F32)</f>
        <v>800</v>
      </c>
      <c r="J32" s="56"/>
    </row>
    <row r="33" spans="1:13" s="445" customFormat="1" ht="19.5" customHeight="1">
      <c r="A33" s="57"/>
      <c r="B33" s="425" t="s">
        <v>315</v>
      </c>
      <c r="C33" s="504">
        <v>22</v>
      </c>
      <c r="D33" s="427" t="s">
        <v>119</v>
      </c>
      <c r="E33" s="505">
        <v>1920</v>
      </c>
      <c r="F33" s="81">
        <f t="shared" ref="F33" si="14">SUM(C33*E33)</f>
        <v>42240</v>
      </c>
      <c r="G33" s="415">
        <v>400</v>
      </c>
      <c r="H33" s="415">
        <f t="shared" si="13"/>
        <v>8800</v>
      </c>
      <c r="I33" s="416">
        <f>SUM(H33+F33)</f>
        <v>51040</v>
      </c>
      <c r="J33" s="56"/>
    </row>
    <row r="34" spans="1:13" s="445" customFormat="1" ht="18.95" customHeight="1">
      <c r="A34" s="412"/>
      <c r="B34" s="508" t="s">
        <v>316</v>
      </c>
      <c r="C34" s="507"/>
      <c r="D34" s="507"/>
      <c r="E34" s="81"/>
      <c r="F34" s="509"/>
      <c r="G34" s="447"/>
      <c r="H34" s="447"/>
      <c r="I34" s="428"/>
      <c r="J34" s="56"/>
    </row>
    <row r="35" spans="1:13" s="445" customFormat="1" ht="18.95" customHeight="1">
      <c r="A35" s="412"/>
      <c r="B35" s="56" t="s">
        <v>317</v>
      </c>
      <c r="C35" s="507">
        <v>1</v>
      </c>
      <c r="D35" s="70" t="s">
        <v>119</v>
      </c>
      <c r="E35" s="415">
        <v>40000</v>
      </c>
      <c r="F35" s="415">
        <f t="shared" ref="F35:F40" si="15">C35*E35</f>
        <v>40000</v>
      </c>
      <c r="G35" s="485">
        <v>8000</v>
      </c>
      <c r="H35" s="485">
        <f t="shared" ref="H35" si="16">SUM(C35*G35)</f>
        <v>8000</v>
      </c>
      <c r="I35" s="486">
        <f>SUM(F35+H35)</f>
        <v>48000</v>
      </c>
      <c r="J35" s="56"/>
    </row>
    <row r="36" spans="1:13" s="445" customFormat="1" ht="18.95" customHeight="1">
      <c r="A36" s="57"/>
      <c r="B36" s="56" t="s">
        <v>318</v>
      </c>
      <c r="C36" s="507">
        <v>1</v>
      </c>
      <c r="D36" s="70" t="s">
        <v>119</v>
      </c>
      <c r="E36" s="415">
        <v>8071</v>
      </c>
      <c r="F36" s="415">
        <f t="shared" si="15"/>
        <v>8071</v>
      </c>
      <c r="G36" s="510" t="s">
        <v>260</v>
      </c>
      <c r="H36" s="510" t="s">
        <v>260</v>
      </c>
      <c r="I36" s="486">
        <f t="shared" ref="I36:I43" si="17">SUM(F36)</f>
        <v>8071</v>
      </c>
      <c r="J36" s="56"/>
    </row>
    <row r="37" spans="1:13" s="445" customFormat="1" ht="19.5" customHeight="1">
      <c r="A37" s="56"/>
      <c r="B37" s="56" t="s">
        <v>319</v>
      </c>
      <c r="C37" s="507">
        <v>3</v>
      </c>
      <c r="D37" s="70" t="s">
        <v>119</v>
      </c>
      <c r="E37" s="415">
        <v>280</v>
      </c>
      <c r="F37" s="415">
        <f t="shared" si="15"/>
        <v>840</v>
      </c>
      <c r="G37" s="510" t="s">
        <v>260</v>
      </c>
      <c r="H37" s="510" t="s">
        <v>260</v>
      </c>
      <c r="I37" s="486">
        <f t="shared" si="17"/>
        <v>840</v>
      </c>
      <c r="J37" s="56"/>
    </row>
    <row r="38" spans="1:13" s="445" customFormat="1" ht="19.5" customHeight="1">
      <c r="A38" s="412"/>
      <c r="B38" s="56" t="s">
        <v>320</v>
      </c>
      <c r="C38" s="507">
        <v>1</v>
      </c>
      <c r="D38" s="70" t="s">
        <v>119</v>
      </c>
      <c r="E38" s="415">
        <v>500</v>
      </c>
      <c r="F38" s="415">
        <f t="shared" si="15"/>
        <v>500</v>
      </c>
      <c r="G38" s="510" t="s">
        <v>260</v>
      </c>
      <c r="H38" s="510" t="s">
        <v>260</v>
      </c>
      <c r="I38" s="486">
        <f t="shared" si="17"/>
        <v>500</v>
      </c>
      <c r="J38" s="56"/>
    </row>
    <row r="39" spans="1:13" s="445" customFormat="1" ht="19.5" customHeight="1">
      <c r="A39" s="412"/>
      <c r="B39" s="56" t="s">
        <v>321</v>
      </c>
      <c r="C39" s="507">
        <v>3</v>
      </c>
      <c r="D39" s="70" t="s">
        <v>119</v>
      </c>
      <c r="E39" s="415">
        <v>350</v>
      </c>
      <c r="F39" s="415">
        <f t="shared" si="15"/>
        <v>1050</v>
      </c>
      <c r="G39" s="510" t="s">
        <v>260</v>
      </c>
      <c r="H39" s="510" t="s">
        <v>260</v>
      </c>
      <c r="I39" s="486">
        <f t="shared" si="17"/>
        <v>1050</v>
      </c>
      <c r="J39" s="56"/>
    </row>
    <row r="40" spans="1:13" s="445" customFormat="1" ht="19.5" customHeight="1">
      <c r="A40" s="56"/>
      <c r="B40" s="56" t="s">
        <v>322</v>
      </c>
      <c r="C40" s="507">
        <v>3</v>
      </c>
      <c r="D40" s="70" t="s">
        <v>119</v>
      </c>
      <c r="E40" s="415">
        <v>950</v>
      </c>
      <c r="F40" s="415">
        <f t="shared" si="15"/>
        <v>2850</v>
      </c>
      <c r="G40" s="510" t="s">
        <v>260</v>
      </c>
      <c r="H40" s="510" t="s">
        <v>260</v>
      </c>
      <c r="I40" s="486">
        <f t="shared" si="17"/>
        <v>2850</v>
      </c>
      <c r="J40" s="56"/>
    </row>
    <row r="41" spans="1:13" s="445" customFormat="1" ht="19.5" customHeight="1">
      <c r="A41" s="56"/>
      <c r="B41" s="511" t="s">
        <v>323</v>
      </c>
      <c r="C41" s="507">
        <v>1</v>
      </c>
      <c r="D41" s="70" t="s">
        <v>119</v>
      </c>
      <c r="E41" s="415">
        <v>15600</v>
      </c>
      <c r="F41" s="81">
        <f>SUM(C41*E41)</f>
        <v>15600</v>
      </c>
      <c r="G41" s="510" t="s">
        <v>260</v>
      </c>
      <c r="H41" s="510" t="s">
        <v>260</v>
      </c>
      <c r="I41" s="486">
        <f t="shared" si="17"/>
        <v>15600</v>
      </c>
      <c r="J41" s="56"/>
    </row>
    <row r="42" spans="1:13" s="445" customFormat="1" ht="19.5" customHeight="1">
      <c r="A42" s="412"/>
      <c r="B42" s="511" t="s">
        <v>324</v>
      </c>
      <c r="C42" s="507">
        <v>22</v>
      </c>
      <c r="D42" s="70" t="s">
        <v>119</v>
      </c>
      <c r="E42" s="415">
        <v>3480</v>
      </c>
      <c r="F42" s="81">
        <f>SUM(C42*E42)</f>
        <v>76560</v>
      </c>
      <c r="G42" s="510" t="s">
        <v>260</v>
      </c>
      <c r="H42" s="510" t="s">
        <v>260</v>
      </c>
      <c r="I42" s="486">
        <f t="shared" si="17"/>
        <v>76560</v>
      </c>
      <c r="J42" s="56"/>
    </row>
    <row r="43" spans="1:13" s="445" customFormat="1" ht="19.5" customHeight="1">
      <c r="A43" s="56"/>
      <c r="B43" s="56" t="s">
        <v>325</v>
      </c>
      <c r="C43" s="512">
        <v>1</v>
      </c>
      <c r="D43" s="513" t="s">
        <v>119</v>
      </c>
      <c r="E43" s="514">
        <v>40000</v>
      </c>
      <c r="F43" s="515">
        <f>C43*E43</f>
        <v>40000</v>
      </c>
      <c r="G43" s="510" t="s">
        <v>260</v>
      </c>
      <c r="H43" s="510" t="s">
        <v>260</v>
      </c>
      <c r="I43" s="486">
        <f t="shared" si="17"/>
        <v>40000</v>
      </c>
      <c r="J43" s="56"/>
      <c r="L43" s="516" t="s">
        <v>326</v>
      </c>
      <c r="M43" s="517">
        <f>SUM(F35:F43)</f>
        <v>185471</v>
      </c>
    </row>
    <row r="44" spans="1:13" s="445" customFormat="1" ht="20.100000000000001" customHeight="1">
      <c r="A44" s="57"/>
      <c r="B44" s="475" t="s">
        <v>327</v>
      </c>
      <c r="C44" s="501">
        <v>1</v>
      </c>
      <c r="D44" s="70" t="s">
        <v>119</v>
      </c>
      <c r="E44" s="81">
        <v>2200</v>
      </c>
      <c r="F44" s="415">
        <f>SUM(C44*E44)</f>
        <v>2200</v>
      </c>
      <c r="G44" s="423">
        <v>300</v>
      </c>
      <c r="H44" s="518">
        <f>SUM(C44*G44)</f>
        <v>300</v>
      </c>
      <c r="I44" s="519">
        <f>SUM(F44+H44)</f>
        <v>2500</v>
      </c>
      <c r="J44" s="56"/>
      <c r="M44" s="482"/>
    </row>
    <row r="45" spans="1:13" s="445" customFormat="1" ht="19.5" customHeight="1">
      <c r="A45" s="57"/>
      <c r="B45" s="425"/>
      <c r="C45" s="504"/>
      <c r="D45" s="427"/>
      <c r="E45" s="505"/>
      <c r="F45" s="81"/>
      <c r="G45" s="415"/>
      <c r="H45" s="415"/>
      <c r="I45" s="416"/>
      <c r="J45" s="56"/>
    </row>
    <row r="46" spans="1:13" ht="19.5" customHeight="1">
      <c r="A46" s="432"/>
      <c r="B46" s="57" t="s">
        <v>18</v>
      </c>
      <c r="C46" s="86"/>
      <c r="D46" s="57"/>
      <c r="E46" s="81"/>
      <c r="F46" s="433">
        <f>SUM(F29:F44)</f>
        <v>262451</v>
      </c>
      <c r="G46" s="434"/>
      <c r="H46" s="433">
        <f>SUM(H29:H44)</f>
        <v>29980</v>
      </c>
      <c r="I46" s="416"/>
      <c r="J46" s="55"/>
      <c r="K46" s="502">
        <f>+H46+F46</f>
        <v>292431</v>
      </c>
    </row>
    <row r="47" spans="1:13" ht="19.5" customHeight="1">
      <c r="A47" s="432"/>
      <c r="B47" s="412" t="s">
        <v>80</v>
      </c>
      <c r="C47" s="86"/>
      <c r="D47" s="57"/>
      <c r="E47" s="81"/>
      <c r="F47" s="415"/>
      <c r="G47" s="434"/>
      <c r="H47" s="435"/>
      <c r="I47" s="503">
        <f>SUM(I29:I45)</f>
        <v>292431</v>
      </c>
      <c r="J47" s="55"/>
      <c r="K47" s="61"/>
      <c r="L47" s="520"/>
      <c r="M47" s="521"/>
    </row>
    <row r="48" spans="1:13" s="445" customFormat="1" ht="18.95" customHeight="1">
      <c r="A48" s="412"/>
      <c r="B48" s="522" t="s">
        <v>328</v>
      </c>
      <c r="C48" s="507"/>
      <c r="D48" s="70"/>
      <c r="E48" s="415"/>
      <c r="F48" s="81"/>
      <c r="G48" s="447"/>
      <c r="H48" s="447"/>
      <c r="I48" s="428"/>
      <c r="J48" s="56"/>
    </row>
    <row r="49" spans="1:12" s="445" customFormat="1" ht="18.95" customHeight="1">
      <c r="A49" s="57"/>
      <c r="B49" s="56" t="s">
        <v>329</v>
      </c>
      <c r="C49" s="507">
        <v>1</v>
      </c>
      <c r="D49" s="70" t="s">
        <v>119</v>
      </c>
      <c r="E49" s="415">
        <v>8680</v>
      </c>
      <c r="F49" s="415">
        <f t="shared" ref="F49:F51" si="18">C49*E49</f>
        <v>8680</v>
      </c>
      <c r="G49" s="485">
        <v>2000</v>
      </c>
      <c r="H49" s="485">
        <f t="shared" ref="H49" si="19">SUM(C49*G49)</f>
        <v>2000</v>
      </c>
      <c r="I49" s="486">
        <f>SUM(F49+H49)</f>
        <v>10680</v>
      </c>
      <c r="J49" s="56"/>
    </row>
    <row r="50" spans="1:12" s="445" customFormat="1" ht="18.95" customHeight="1">
      <c r="A50" s="56"/>
      <c r="B50" s="56" t="s">
        <v>330</v>
      </c>
      <c r="C50" s="501">
        <v>8</v>
      </c>
      <c r="D50" s="70" t="s">
        <v>119</v>
      </c>
      <c r="E50" s="415">
        <v>158</v>
      </c>
      <c r="F50" s="81">
        <f t="shared" si="18"/>
        <v>1264</v>
      </c>
      <c r="G50" s="510" t="s">
        <v>260</v>
      </c>
      <c r="H50" s="510" t="s">
        <v>260</v>
      </c>
      <c r="I50" s="486">
        <f>SUM(F50)</f>
        <v>1264</v>
      </c>
      <c r="J50" s="56"/>
    </row>
    <row r="51" spans="1:12" s="445" customFormat="1" ht="18.95" customHeight="1">
      <c r="A51" s="56"/>
      <c r="B51" s="56" t="s">
        <v>331</v>
      </c>
      <c r="C51" s="501">
        <v>22</v>
      </c>
      <c r="D51" s="70" t="s">
        <v>119</v>
      </c>
      <c r="E51" s="415">
        <v>158</v>
      </c>
      <c r="F51" s="81">
        <f t="shared" si="18"/>
        <v>3476</v>
      </c>
      <c r="G51" s="510" t="s">
        <v>260</v>
      </c>
      <c r="H51" s="510" t="s">
        <v>260</v>
      </c>
      <c r="I51" s="486">
        <f>SUM(F51)</f>
        <v>3476</v>
      </c>
      <c r="J51" s="56"/>
    </row>
    <row r="52" spans="1:12" s="445" customFormat="1" ht="18.95" customHeight="1">
      <c r="A52" s="412"/>
      <c r="B52" s="523" t="s">
        <v>332</v>
      </c>
      <c r="C52" s="507"/>
      <c r="D52" s="70"/>
      <c r="E52" s="415"/>
      <c r="F52" s="81"/>
      <c r="G52" s="447"/>
      <c r="H52" s="447"/>
      <c r="I52" s="428"/>
      <c r="J52" s="56"/>
    </row>
    <row r="53" spans="1:12" s="445" customFormat="1" ht="18.95" customHeight="1">
      <c r="A53" s="412"/>
      <c r="B53" s="524" t="s">
        <v>333</v>
      </c>
      <c r="C53" s="507"/>
      <c r="D53" s="70"/>
      <c r="E53" s="415"/>
      <c r="F53" s="81"/>
      <c r="G53" s="485"/>
      <c r="H53" s="485"/>
      <c r="I53" s="486"/>
      <c r="J53" s="56"/>
    </row>
    <row r="54" spans="1:12" s="445" customFormat="1" ht="18.95" customHeight="1">
      <c r="A54" s="56"/>
      <c r="B54" s="524" t="s">
        <v>334</v>
      </c>
      <c r="C54" s="507">
        <v>22</v>
      </c>
      <c r="D54" s="70" t="s">
        <v>335</v>
      </c>
      <c r="E54" s="415">
        <v>2478</v>
      </c>
      <c r="F54" s="81">
        <f>C54*E54</f>
        <v>54516</v>
      </c>
      <c r="G54" s="485">
        <v>800</v>
      </c>
      <c r="H54" s="485">
        <f t="shared" ref="H54" si="20">SUM(C54*G54)</f>
        <v>17600</v>
      </c>
      <c r="I54" s="486">
        <f>SUM(F54+H54)</f>
        <v>72116</v>
      </c>
      <c r="J54" s="56"/>
      <c r="K54" s="445" t="s">
        <v>336</v>
      </c>
    </row>
    <row r="55" spans="1:12" s="445" customFormat="1" ht="18.95" customHeight="1">
      <c r="A55" s="57"/>
      <c r="B55" s="525" t="s">
        <v>337</v>
      </c>
      <c r="C55" s="507">
        <v>22</v>
      </c>
      <c r="D55" s="70" t="s">
        <v>119</v>
      </c>
      <c r="E55" s="415">
        <v>158</v>
      </c>
      <c r="F55" s="81">
        <f>C55*E55</f>
        <v>3476</v>
      </c>
      <c r="G55" s="510" t="s">
        <v>260</v>
      </c>
      <c r="H55" s="510" t="s">
        <v>260</v>
      </c>
      <c r="I55" s="486">
        <f>SUM(F55)</f>
        <v>3476</v>
      </c>
      <c r="J55" s="56"/>
      <c r="K55" s="445" t="s">
        <v>338</v>
      </c>
    </row>
    <row r="56" spans="1:12" ht="18.95" customHeight="1">
      <c r="A56" s="190"/>
      <c r="B56" s="425" t="s">
        <v>339</v>
      </c>
      <c r="C56" s="501">
        <v>22</v>
      </c>
      <c r="D56" s="70" t="s">
        <v>119</v>
      </c>
      <c r="E56" s="415">
        <v>158</v>
      </c>
      <c r="F56" s="81">
        <f>C56*E56</f>
        <v>3476</v>
      </c>
      <c r="G56" s="510" t="s">
        <v>260</v>
      </c>
      <c r="H56" s="510" t="s">
        <v>260</v>
      </c>
      <c r="I56" s="486">
        <f>SUM(F56)</f>
        <v>3476</v>
      </c>
      <c r="J56" s="55"/>
      <c r="K56" s="445" t="s">
        <v>338</v>
      </c>
      <c r="L56" s="10"/>
    </row>
    <row r="57" spans="1:12" s="445" customFormat="1" ht="18.95" customHeight="1">
      <c r="A57" s="56"/>
      <c r="B57" s="56" t="s">
        <v>340</v>
      </c>
      <c r="C57" s="501">
        <v>22</v>
      </c>
      <c r="D57" s="70" t="s">
        <v>119</v>
      </c>
      <c r="E57" s="415">
        <v>1533</v>
      </c>
      <c r="F57" s="81">
        <f t="shared" ref="F57:F58" si="21">C57*E57</f>
        <v>33726</v>
      </c>
      <c r="G57" s="510" t="s">
        <v>260</v>
      </c>
      <c r="H57" s="510" t="s">
        <v>260</v>
      </c>
      <c r="I57" s="486">
        <f>SUM(F57)</f>
        <v>33726</v>
      </c>
      <c r="J57" s="56"/>
      <c r="K57" s="445" t="s">
        <v>338</v>
      </c>
      <c r="L57" s="482"/>
    </row>
    <row r="58" spans="1:12" s="445" customFormat="1" ht="18.95" customHeight="1">
      <c r="A58" s="56"/>
      <c r="B58" s="421" t="s">
        <v>439</v>
      </c>
      <c r="C58" s="501">
        <v>1</v>
      </c>
      <c r="D58" s="70" t="s">
        <v>119</v>
      </c>
      <c r="E58" s="415">
        <v>9064</v>
      </c>
      <c r="F58" s="81">
        <f t="shared" si="21"/>
        <v>9064</v>
      </c>
      <c r="G58" s="485">
        <v>500</v>
      </c>
      <c r="H58" s="485">
        <f t="shared" ref="H58" si="22">SUM(C58*G58)</f>
        <v>500</v>
      </c>
      <c r="I58" s="486">
        <f>SUM(F58+H58)</f>
        <v>9564</v>
      </c>
      <c r="J58" s="56"/>
      <c r="L58" s="482"/>
    </row>
    <row r="59" spans="1:12" s="445" customFormat="1" ht="18.95" customHeight="1">
      <c r="A59" s="56"/>
      <c r="B59" s="56" t="s">
        <v>440</v>
      </c>
      <c r="C59" s="501"/>
      <c r="D59" s="70"/>
      <c r="E59" s="415"/>
      <c r="F59" s="81"/>
      <c r="G59" s="510"/>
      <c r="H59" s="510"/>
      <c r="I59" s="486"/>
      <c r="J59" s="56"/>
      <c r="L59" s="482"/>
    </row>
    <row r="60" spans="1:12" s="445" customFormat="1" ht="18.75" customHeight="1">
      <c r="A60" s="56"/>
      <c r="B60" s="526" t="s">
        <v>341</v>
      </c>
      <c r="C60" s="483"/>
      <c r="D60" s="477"/>
      <c r="E60" s="415"/>
      <c r="F60" s="415"/>
      <c r="G60" s="485"/>
      <c r="H60" s="485"/>
      <c r="I60" s="486"/>
      <c r="J60" s="56"/>
    </row>
    <row r="61" spans="1:12" s="445" customFormat="1" ht="19.5" customHeight="1">
      <c r="A61" s="56"/>
      <c r="B61" s="475" t="s">
        <v>342</v>
      </c>
      <c r="C61" s="483">
        <v>3111</v>
      </c>
      <c r="D61" s="477" t="s">
        <v>180</v>
      </c>
      <c r="E61" s="415">
        <v>6</v>
      </c>
      <c r="F61" s="415">
        <f t="shared" ref="F61:F65" si="23">C61*E61</f>
        <v>18666</v>
      </c>
      <c r="G61" s="485">
        <v>5</v>
      </c>
      <c r="H61" s="485">
        <f t="shared" ref="H61:H65" si="24">SUM(C61*G61)</f>
        <v>15555</v>
      </c>
      <c r="I61" s="486">
        <f>SUM(F61+H61)</f>
        <v>34221</v>
      </c>
      <c r="J61" s="56"/>
    </row>
    <row r="62" spans="1:12" s="445" customFormat="1" ht="19.5" customHeight="1">
      <c r="A62" s="57"/>
      <c r="B62" s="475" t="s">
        <v>343</v>
      </c>
      <c r="C62" s="483">
        <v>3149</v>
      </c>
      <c r="D62" s="477" t="s">
        <v>180</v>
      </c>
      <c r="E62" s="415">
        <v>8</v>
      </c>
      <c r="F62" s="415">
        <f t="shared" si="23"/>
        <v>25192</v>
      </c>
      <c r="G62" s="485">
        <v>7</v>
      </c>
      <c r="H62" s="485">
        <f t="shared" si="24"/>
        <v>22043</v>
      </c>
      <c r="I62" s="486">
        <f>SUM(F62+H62)</f>
        <v>47235</v>
      </c>
      <c r="J62" s="56"/>
    </row>
    <row r="63" spans="1:12" s="445" customFormat="1" ht="20.100000000000001" customHeight="1">
      <c r="A63" s="57"/>
      <c r="B63" s="475" t="s">
        <v>344</v>
      </c>
      <c r="C63" s="483">
        <v>1134</v>
      </c>
      <c r="D63" s="477" t="s">
        <v>180</v>
      </c>
      <c r="E63" s="415">
        <v>12</v>
      </c>
      <c r="F63" s="415">
        <f t="shared" si="23"/>
        <v>13608</v>
      </c>
      <c r="G63" s="485">
        <v>10</v>
      </c>
      <c r="H63" s="485">
        <f t="shared" si="24"/>
        <v>11340</v>
      </c>
      <c r="I63" s="486">
        <f>SUM(F63+H63)</f>
        <v>24948</v>
      </c>
      <c r="J63" s="56"/>
    </row>
    <row r="64" spans="1:12" s="445" customFormat="1" ht="19.5" customHeight="1">
      <c r="A64" s="56"/>
      <c r="B64" s="475" t="s">
        <v>345</v>
      </c>
      <c r="C64" s="483">
        <v>2391</v>
      </c>
      <c r="D64" s="477" t="s">
        <v>180</v>
      </c>
      <c r="E64" s="81">
        <v>35</v>
      </c>
      <c r="F64" s="415">
        <f t="shared" si="23"/>
        <v>83685</v>
      </c>
      <c r="G64" s="485">
        <v>16</v>
      </c>
      <c r="H64" s="485">
        <f t="shared" si="24"/>
        <v>38256</v>
      </c>
      <c r="I64" s="486">
        <f t="shared" ref="I64:I65" si="25">SUM(F64+H64)</f>
        <v>121941</v>
      </c>
      <c r="J64" s="56"/>
    </row>
    <row r="65" spans="1:14" s="445" customFormat="1" ht="19.5" customHeight="1">
      <c r="A65" s="56"/>
      <c r="B65" s="475" t="s">
        <v>382</v>
      </c>
      <c r="C65" s="476">
        <v>740</v>
      </c>
      <c r="D65" s="477" t="s">
        <v>118</v>
      </c>
      <c r="E65" s="81">
        <v>76</v>
      </c>
      <c r="F65" s="415">
        <f t="shared" si="23"/>
        <v>56240</v>
      </c>
      <c r="G65" s="485">
        <v>66</v>
      </c>
      <c r="H65" s="485">
        <f t="shared" si="24"/>
        <v>48840</v>
      </c>
      <c r="I65" s="486">
        <f t="shared" si="25"/>
        <v>105080</v>
      </c>
      <c r="J65" s="56"/>
    </row>
    <row r="66" spans="1:14" s="445" customFormat="1" ht="19.5" customHeight="1">
      <c r="A66" s="527"/>
      <c r="B66" s="475"/>
      <c r="C66" s="476"/>
      <c r="D66" s="477"/>
      <c r="E66" s="81"/>
      <c r="F66" s="415"/>
      <c r="G66" s="528"/>
      <c r="H66" s="485"/>
      <c r="I66" s="486"/>
      <c r="J66" s="56"/>
    </row>
    <row r="67" spans="1:14" ht="19.5" customHeight="1">
      <c r="A67" s="432"/>
      <c r="B67" s="57" t="s">
        <v>18</v>
      </c>
      <c r="C67" s="86"/>
      <c r="D67" s="57"/>
      <c r="E67" s="81"/>
      <c r="F67" s="433">
        <f>SUM(F48:F66)</f>
        <v>315069</v>
      </c>
      <c r="G67" s="434"/>
      <c r="H67" s="433">
        <f>SUM(H48:H66)</f>
        <v>156134</v>
      </c>
      <c r="I67" s="416"/>
      <c r="J67" s="55"/>
      <c r="K67" s="502">
        <f>+H67+F67</f>
        <v>471203</v>
      </c>
    </row>
    <row r="68" spans="1:14" ht="19.5" customHeight="1">
      <c r="A68" s="432"/>
      <c r="B68" s="412" t="s">
        <v>80</v>
      </c>
      <c r="C68" s="86"/>
      <c r="D68" s="57"/>
      <c r="E68" s="81"/>
      <c r="F68" s="415"/>
      <c r="G68" s="434"/>
      <c r="H68" s="435"/>
      <c r="I68" s="503">
        <f>SUM(I48:I67)</f>
        <v>471203</v>
      </c>
      <c r="J68" s="55"/>
      <c r="K68" s="61"/>
      <c r="L68" s="520" t="s">
        <v>349</v>
      </c>
      <c r="M68" s="521">
        <f>SUM(K26+K46+K67)</f>
        <v>922786</v>
      </c>
    </row>
    <row r="69" spans="1:14" s="445" customFormat="1" ht="18.75" customHeight="1">
      <c r="A69" s="56"/>
      <c r="B69" s="526" t="s">
        <v>441</v>
      </c>
      <c r="C69" s="483"/>
      <c r="D69" s="477"/>
      <c r="E69" s="415"/>
      <c r="F69" s="415"/>
      <c r="G69" s="485"/>
      <c r="H69" s="485"/>
      <c r="I69" s="486"/>
      <c r="J69" s="56"/>
    </row>
    <row r="70" spans="1:14" s="445" customFormat="1" ht="19.5" customHeight="1">
      <c r="A70" s="57"/>
      <c r="B70" s="475" t="s">
        <v>383</v>
      </c>
      <c r="C70" s="476">
        <v>248</v>
      </c>
      <c r="D70" s="477" t="s">
        <v>118</v>
      </c>
      <c r="E70" s="81">
        <v>216</v>
      </c>
      <c r="F70" s="415">
        <f>C70*E70</f>
        <v>53568</v>
      </c>
      <c r="G70" s="485">
        <v>84</v>
      </c>
      <c r="H70" s="485">
        <f>SUM(C70*G70)</f>
        <v>20832</v>
      </c>
      <c r="I70" s="486">
        <f>SUM(F70+H70)</f>
        <v>74400</v>
      </c>
      <c r="J70" s="56"/>
    </row>
    <row r="71" spans="1:14" s="445" customFormat="1" ht="19.5" customHeight="1">
      <c r="A71" s="57"/>
      <c r="B71" s="475" t="s">
        <v>438</v>
      </c>
      <c r="C71" s="476">
        <v>8</v>
      </c>
      <c r="D71" s="477" t="s">
        <v>118</v>
      </c>
      <c r="E71" s="81">
        <v>291</v>
      </c>
      <c r="F71" s="415">
        <f t="shared" ref="F71" si="26">C71*E71</f>
        <v>2328</v>
      </c>
      <c r="G71" s="485">
        <v>96</v>
      </c>
      <c r="H71" s="485">
        <f t="shared" ref="H71" si="27">SUM(C71*G71)</f>
        <v>768</v>
      </c>
      <c r="I71" s="486">
        <f t="shared" ref="I71" si="28">SUM(F71+H71)</f>
        <v>3096</v>
      </c>
      <c r="J71" s="56"/>
    </row>
    <row r="72" spans="1:14" s="445" customFormat="1" ht="20.100000000000001" customHeight="1">
      <c r="A72" s="57"/>
      <c r="B72" s="56" t="s">
        <v>346</v>
      </c>
      <c r="C72" s="476">
        <v>10</v>
      </c>
      <c r="D72" s="477" t="s">
        <v>180</v>
      </c>
      <c r="E72" s="498">
        <v>580</v>
      </c>
      <c r="F72" s="81">
        <f>SUM(C72*E72)</f>
        <v>5800</v>
      </c>
      <c r="G72" s="485">
        <v>45</v>
      </c>
      <c r="H72" s="485">
        <f>SUM(C72*G72)</f>
        <v>450</v>
      </c>
      <c r="I72" s="486">
        <f>SUM(F72+H72)</f>
        <v>6250</v>
      </c>
      <c r="J72" s="56"/>
    </row>
    <row r="73" spans="1:14" s="445" customFormat="1" ht="19.5" customHeight="1">
      <c r="A73" s="56"/>
      <c r="B73" s="475" t="s">
        <v>347</v>
      </c>
      <c r="C73" s="476">
        <v>1</v>
      </c>
      <c r="D73" s="477" t="s">
        <v>19</v>
      </c>
      <c r="E73" s="81">
        <v>80000</v>
      </c>
      <c r="F73" s="81">
        <f>SUM(C73*E73)</f>
        <v>80000</v>
      </c>
      <c r="G73" s="510" t="s">
        <v>260</v>
      </c>
      <c r="H73" s="510" t="s">
        <v>260</v>
      </c>
      <c r="I73" s="486">
        <f>SUM(F73)</f>
        <v>80000</v>
      </c>
      <c r="J73" s="56"/>
      <c r="L73" s="529" t="s">
        <v>348</v>
      </c>
      <c r="N73" s="482"/>
    </row>
    <row r="74" spans="1:14" s="445" customFormat="1" ht="19.5" customHeight="1">
      <c r="A74" s="56"/>
      <c r="B74" s="530"/>
      <c r="C74" s="476"/>
      <c r="D74" s="477"/>
      <c r="E74" s="81"/>
      <c r="F74" s="81"/>
      <c r="G74" s="510"/>
      <c r="H74" s="510"/>
      <c r="I74" s="531"/>
      <c r="J74" s="56"/>
      <c r="L74" s="529"/>
      <c r="N74" s="482"/>
    </row>
    <row r="75" spans="1:14" s="445" customFormat="1" ht="19.5" customHeight="1">
      <c r="A75" s="412"/>
      <c r="B75" s="532" t="s">
        <v>350</v>
      </c>
      <c r="C75" s="483"/>
      <c r="D75" s="477"/>
      <c r="E75" s="415"/>
      <c r="F75" s="81"/>
      <c r="G75" s="447"/>
      <c r="H75" s="447"/>
      <c r="I75" s="428"/>
      <c r="J75" s="56"/>
      <c r="K75" s="533"/>
    </row>
    <row r="76" spans="1:14" s="445" customFormat="1" ht="19.5" customHeight="1">
      <c r="A76" s="56"/>
      <c r="B76" s="425" t="s">
        <v>351</v>
      </c>
      <c r="C76" s="504">
        <v>1</v>
      </c>
      <c r="D76" s="70" t="s">
        <v>335</v>
      </c>
      <c r="E76" s="498">
        <v>3000</v>
      </c>
      <c r="F76" s="81">
        <f t="shared" ref="F76:F83" si="29">SUM(C76*E76)</f>
        <v>3000</v>
      </c>
      <c r="G76" s="485">
        <v>500</v>
      </c>
      <c r="H76" s="485">
        <f>SUM(C76*G76)</f>
        <v>500</v>
      </c>
      <c r="I76" s="486">
        <f>SUM(F76+H76)</f>
        <v>3500</v>
      </c>
      <c r="J76" s="56"/>
      <c r="K76" s="534"/>
      <c r="L76" s="482"/>
    </row>
    <row r="77" spans="1:14" s="445" customFormat="1" ht="19.5" customHeight="1">
      <c r="A77" s="57"/>
      <c r="B77" s="425" t="s">
        <v>352</v>
      </c>
      <c r="C77" s="535">
        <v>1</v>
      </c>
      <c r="D77" s="536" t="s">
        <v>119</v>
      </c>
      <c r="E77" s="498">
        <v>75</v>
      </c>
      <c r="F77" s="81">
        <f t="shared" si="29"/>
        <v>75</v>
      </c>
      <c r="G77" s="447" t="s">
        <v>260</v>
      </c>
      <c r="H77" s="447" t="s">
        <v>260</v>
      </c>
      <c r="I77" s="416">
        <f>SUM(F77)</f>
        <v>75</v>
      </c>
      <c r="J77" s="524"/>
    </row>
    <row r="78" spans="1:14" s="445" customFormat="1" ht="19.5" customHeight="1">
      <c r="A78" s="57"/>
      <c r="B78" s="425" t="s">
        <v>353</v>
      </c>
      <c r="C78" s="537">
        <v>1</v>
      </c>
      <c r="D78" s="536" t="s">
        <v>119</v>
      </c>
      <c r="E78" s="498">
        <v>370</v>
      </c>
      <c r="F78" s="81">
        <f t="shared" si="29"/>
        <v>370</v>
      </c>
      <c r="G78" s="447" t="s">
        <v>260</v>
      </c>
      <c r="H78" s="447" t="s">
        <v>260</v>
      </c>
      <c r="I78" s="416">
        <f>SUM(F78)</f>
        <v>370</v>
      </c>
      <c r="J78" s="56"/>
      <c r="K78" s="482"/>
    </row>
    <row r="79" spans="1:14" s="445" customFormat="1" ht="19.5" customHeight="1">
      <c r="A79" s="57"/>
      <c r="B79" s="425" t="s">
        <v>354</v>
      </c>
      <c r="C79" s="537">
        <v>2</v>
      </c>
      <c r="D79" s="536" t="s">
        <v>119</v>
      </c>
      <c r="E79" s="498">
        <v>550</v>
      </c>
      <c r="F79" s="81">
        <f t="shared" si="29"/>
        <v>1100</v>
      </c>
      <c r="G79" s="447" t="s">
        <v>260</v>
      </c>
      <c r="H79" s="447" t="s">
        <v>260</v>
      </c>
      <c r="I79" s="416">
        <f>SUM(F79)</f>
        <v>1100</v>
      </c>
      <c r="J79" s="56"/>
      <c r="K79" s="482"/>
    </row>
    <row r="80" spans="1:14" s="445" customFormat="1" ht="19.5" customHeight="1">
      <c r="A80" s="56"/>
      <c r="B80" s="475" t="s">
        <v>355</v>
      </c>
      <c r="C80" s="535">
        <v>2</v>
      </c>
      <c r="D80" s="538" t="s">
        <v>119</v>
      </c>
      <c r="E80" s="498">
        <v>180</v>
      </c>
      <c r="F80" s="81">
        <f t="shared" si="29"/>
        <v>360</v>
      </c>
      <c r="G80" s="485">
        <v>90</v>
      </c>
      <c r="H80" s="485">
        <f>SUM(C80*G80)</f>
        <v>180</v>
      </c>
      <c r="I80" s="486">
        <f>SUM(F80+H80)</f>
        <v>540</v>
      </c>
      <c r="J80" s="56"/>
    </row>
    <row r="81" spans="1:13" s="445" customFormat="1" ht="19.5" customHeight="1">
      <c r="A81" s="57"/>
      <c r="B81" s="539" t="s">
        <v>356</v>
      </c>
      <c r="C81" s="535">
        <v>30</v>
      </c>
      <c r="D81" s="540" t="s">
        <v>180</v>
      </c>
      <c r="E81" s="498">
        <v>14</v>
      </c>
      <c r="F81" s="81">
        <f t="shared" si="29"/>
        <v>420</v>
      </c>
      <c r="G81" s="485">
        <v>7</v>
      </c>
      <c r="H81" s="485">
        <f>SUM(C81*G81)</f>
        <v>210</v>
      </c>
      <c r="I81" s="486">
        <f>SUM(F81+H81)</f>
        <v>630</v>
      </c>
      <c r="J81" s="56"/>
    </row>
    <row r="82" spans="1:13" ht="19.5" customHeight="1">
      <c r="A82" s="190"/>
      <c r="B82" s="475" t="s">
        <v>357</v>
      </c>
      <c r="C82" s="535">
        <v>10</v>
      </c>
      <c r="D82" s="477" t="s">
        <v>118</v>
      </c>
      <c r="E82" s="498">
        <v>76</v>
      </c>
      <c r="F82" s="519">
        <f t="shared" si="29"/>
        <v>760</v>
      </c>
      <c r="G82" s="541">
        <v>54</v>
      </c>
      <c r="H82" s="541">
        <f>SUM(C82*G82)</f>
        <v>540</v>
      </c>
      <c r="I82" s="542">
        <f>SUM(F82+H82)</f>
        <v>1300</v>
      </c>
      <c r="J82" s="55"/>
      <c r="L82" s="10"/>
    </row>
    <row r="83" spans="1:13" s="445" customFormat="1" ht="19.5" customHeight="1">
      <c r="A83" s="56"/>
      <c r="B83" s="475" t="s">
        <v>347</v>
      </c>
      <c r="C83" s="483">
        <v>1</v>
      </c>
      <c r="D83" s="477" t="s">
        <v>19</v>
      </c>
      <c r="E83" s="415">
        <v>1000</v>
      </c>
      <c r="F83" s="81">
        <f t="shared" si="29"/>
        <v>1000</v>
      </c>
      <c r="G83" s="447" t="s">
        <v>260</v>
      </c>
      <c r="H83" s="447" t="s">
        <v>260</v>
      </c>
      <c r="I83" s="428">
        <f>SUM(F83)</f>
        <v>1000</v>
      </c>
      <c r="J83" s="56"/>
      <c r="K83" s="529">
        <v>0.15</v>
      </c>
      <c r="L83" s="482"/>
    </row>
    <row r="84" spans="1:13" s="445" customFormat="1" ht="19.5" customHeight="1">
      <c r="A84" s="56"/>
      <c r="B84" s="475"/>
      <c r="C84" s="483"/>
      <c r="D84" s="477"/>
      <c r="E84" s="415"/>
      <c r="F84" s="81"/>
      <c r="G84" s="447"/>
      <c r="H84" s="447"/>
      <c r="I84" s="428"/>
      <c r="J84" s="56"/>
      <c r="K84" s="529"/>
      <c r="L84" s="482"/>
    </row>
    <row r="85" spans="1:13" s="445" customFormat="1" ht="19.5" customHeight="1">
      <c r="A85" s="57"/>
      <c r="B85" s="543"/>
      <c r="C85" s="544"/>
      <c r="D85" s="544"/>
      <c r="E85" s="545"/>
      <c r="F85" s="81"/>
      <c r="G85" s="447"/>
      <c r="H85" s="447"/>
      <c r="I85" s="428"/>
      <c r="J85" s="56"/>
    </row>
    <row r="86" spans="1:13" s="445" customFormat="1" ht="19.5" customHeight="1">
      <c r="A86" s="56"/>
      <c r="B86" s="487"/>
      <c r="C86" s="488"/>
      <c r="D86" s="489"/>
      <c r="E86" s="484"/>
      <c r="F86" s="485"/>
      <c r="G86" s="510"/>
      <c r="H86" s="510"/>
      <c r="I86" s="486"/>
      <c r="J86" s="56"/>
    </row>
    <row r="87" spans="1:13" ht="19.5" customHeight="1">
      <c r="A87" s="432"/>
      <c r="B87" s="57" t="s">
        <v>18</v>
      </c>
      <c r="C87" s="86"/>
      <c r="D87" s="57"/>
      <c r="E87" s="81"/>
      <c r="F87" s="433">
        <f>SUM(F69:F86)</f>
        <v>148781</v>
      </c>
      <c r="G87" s="434"/>
      <c r="H87" s="433">
        <f>SUM(H69:H86)</f>
        <v>23480</v>
      </c>
      <c r="I87" s="416"/>
      <c r="J87" s="55"/>
      <c r="K87" s="502">
        <f>+H87+F87</f>
        <v>172261</v>
      </c>
    </row>
    <row r="88" spans="1:13" ht="19.5" customHeight="1">
      <c r="A88" s="432"/>
      <c r="B88" s="412" t="s">
        <v>80</v>
      </c>
      <c r="C88" s="86"/>
      <c r="D88" s="57"/>
      <c r="E88" s="81"/>
      <c r="F88" s="415"/>
      <c r="G88" s="434"/>
      <c r="H88" s="435"/>
      <c r="I88" s="503">
        <f>SUM(I69:I87)</f>
        <v>172261</v>
      </c>
      <c r="J88" s="55"/>
      <c r="K88" s="61"/>
      <c r="L88" s="429" t="s">
        <v>349</v>
      </c>
      <c r="M88" s="546">
        <f>SUM(I88)</f>
        <v>172261</v>
      </c>
    </row>
    <row r="89" spans="1:13" s="549" customFormat="1" ht="19.5" customHeight="1">
      <c r="A89" s="547"/>
      <c r="B89" s="548" t="s">
        <v>358</v>
      </c>
      <c r="C89" s="488"/>
      <c r="D89" s="489"/>
      <c r="E89" s="484"/>
      <c r="F89" s="485"/>
      <c r="G89" s="510"/>
      <c r="H89" s="510"/>
      <c r="I89" s="486"/>
      <c r="J89" s="547"/>
      <c r="K89" s="533"/>
    </row>
    <row r="90" spans="1:13" s="549" customFormat="1" ht="19.5" customHeight="1">
      <c r="A90" s="547"/>
      <c r="B90" s="458" t="s">
        <v>359</v>
      </c>
      <c r="C90" s="57">
        <v>1</v>
      </c>
      <c r="D90" s="57" t="s">
        <v>119</v>
      </c>
      <c r="E90" s="415">
        <v>7500</v>
      </c>
      <c r="F90" s="484">
        <f>SUM(C90*E90)</f>
        <v>7500</v>
      </c>
      <c r="G90" s="648" t="s">
        <v>360</v>
      </c>
      <c r="H90" s="649"/>
      <c r="I90" s="486">
        <f t="shared" ref="I90:I98" si="30">SUM(F90+H90)</f>
        <v>7500</v>
      </c>
      <c r="J90" s="547"/>
      <c r="K90" s="534"/>
    </row>
    <row r="91" spans="1:13" s="549" customFormat="1" ht="19.5" customHeight="1">
      <c r="A91" s="547"/>
      <c r="B91" s="56" t="s">
        <v>361</v>
      </c>
      <c r="C91" s="57">
        <v>2</v>
      </c>
      <c r="D91" s="57" t="s">
        <v>119</v>
      </c>
      <c r="E91" s="415">
        <v>2300</v>
      </c>
      <c r="F91" s="484">
        <f t="shared" ref="F91:F92" si="31">SUM(C91*E91)</f>
        <v>4600</v>
      </c>
      <c r="G91" s="485">
        <v>500</v>
      </c>
      <c r="H91" s="485">
        <f t="shared" ref="H91:H98" si="32">SUM(C91*G91)</f>
        <v>1000</v>
      </c>
      <c r="I91" s="486">
        <f t="shared" si="30"/>
        <v>5600</v>
      </c>
      <c r="J91" s="547"/>
    </row>
    <row r="92" spans="1:13" s="549" customFormat="1" ht="19.5" customHeight="1">
      <c r="A92" s="547"/>
      <c r="B92" s="56" t="s">
        <v>362</v>
      </c>
      <c r="C92" s="57">
        <v>2</v>
      </c>
      <c r="D92" s="57" t="s">
        <v>119</v>
      </c>
      <c r="E92" s="415">
        <v>1500</v>
      </c>
      <c r="F92" s="484">
        <f t="shared" si="31"/>
        <v>3000</v>
      </c>
      <c r="G92" s="485">
        <v>300</v>
      </c>
      <c r="H92" s="485">
        <f t="shared" si="32"/>
        <v>600</v>
      </c>
      <c r="I92" s="486">
        <f t="shared" si="30"/>
        <v>3600</v>
      </c>
      <c r="J92" s="547"/>
    </row>
    <row r="93" spans="1:13" s="549" customFormat="1" ht="19.5" customHeight="1">
      <c r="A93" s="547"/>
      <c r="B93" s="56" t="s">
        <v>363</v>
      </c>
      <c r="C93" s="57">
        <v>22</v>
      </c>
      <c r="D93" s="57" t="s">
        <v>119</v>
      </c>
      <c r="E93" s="415">
        <v>1000</v>
      </c>
      <c r="F93" s="484">
        <f>SUM(C93*E93)</f>
        <v>22000</v>
      </c>
      <c r="G93" s="648" t="s">
        <v>360</v>
      </c>
      <c r="H93" s="649"/>
      <c r="I93" s="486">
        <f t="shared" si="30"/>
        <v>22000</v>
      </c>
      <c r="J93" s="547"/>
    </row>
    <row r="94" spans="1:13" s="549" customFormat="1" ht="19.5" customHeight="1">
      <c r="A94" s="547"/>
      <c r="B94" s="56" t="s">
        <v>364</v>
      </c>
      <c r="C94" s="57">
        <v>22</v>
      </c>
      <c r="D94" s="57" t="s">
        <v>119</v>
      </c>
      <c r="E94" s="415">
        <v>200</v>
      </c>
      <c r="F94" s="484">
        <f>SUM(C94*E94)</f>
        <v>4400</v>
      </c>
      <c r="G94" s="485">
        <v>90</v>
      </c>
      <c r="H94" s="485">
        <f t="shared" si="32"/>
        <v>1980</v>
      </c>
      <c r="I94" s="486">
        <f t="shared" si="30"/>
        <v>6380</v>
      </c>
      <c r="J94" s="547"/>
    </row>
    <row r="95" spans="1:13" s="549" customFormat="1" ht="19.5" customHeight="1">
      <c r="A95" s="547"/>
      <c r="B95" s="56" t="s">
        <v>365</v>
      </c>
      <c r="C95" s="82">
        <v>587</v>
      </c>
      <c r="D95" s="70" t="s">
        <v>180</v>
      </c>
      <c r="E95" s="415">
        <v>13</v>
      </c>
      <c r="F95" s="485">
        <f>SUM(C95*E95)</f>
        <v>7631</v>
      </c>
      <c r="G95" s="485">
        <v>7</v>
      </c>
      <c r="H95" s="485">
        <f t="shared" si="32"/>
        <v>4109</v>
      </c>
      <c r="I95" s="486">
        <f t="shared" si="30"/>
        <v>11740</v>
      </c>
      <c r="J95" s="547"/>
      <c r="K95" s="550"/>
    </row>
    <row r="96" spans="1:13" s="549" customFormat="1" ht="19.5" customHeight="1">
      <c r="A96" s="547"/>
      <c r="B96" s="56" t="s">
        <v>366</v>
      </c>
      <c r="C96" s="82">
        <v>50</v>
      </c>
      <c r="D96" s="70" t="s">
        <v>180</v>
      </c>
      <c r="E96" s="415">
        <v>34</v>
      </c>
      <c r="F96" s="485">
        <f t="shared" ref="F96:F99" si="33">SUM(C96*E96)</f>
        <v>1700</v>
      </c>
      <c r="G96" s="485">
        <v>10</v>
      </c>
      <c r="H96" s="485">
        <f t="shared" si="32"/>
        <v>500</v>
      </c>
      <c r="I96" s="486">
        <f t="shared" si="30"/>
        <v>2200</v>
      </c>
      <c r="J96" s="547"/>
      <c r="K96" s="550"/>
    </row>
    <row r="97" spans="1:13" s="445" customFormat="1" ht="19.5" customHeight="1">
      <c r="A97" s="57"/>
      <c r="B97" s="56" t="s">
        <v>382</v>
      </c>
      <c r="C97" s="82">
        <v>196</v>
      </c>
      <c r="D97" s="57" t="s">
        <v>118</v>
      </c>
      <c r="E97" s="81">
        <v>76</v>
      </c>
      <c r="F97" s="485">
        <f t="shared" si="33"/>
        <v>14896</v>
      </c>
      <c r="G97" s="485">
        <v>66</v>
      </c>
      <c r="H97" s="485">
        <f t="shared" si="32"/>
        <v>12936</v>
      </c>
      <c r="I97" s="486">
        <f t="shared" si="30"/>
        <v>27832</v>
      </c>
      <c r="J97" s="56"/>
    </row>
    <row r="98" spans="1:13" s="445" customFormat="1" ht="19.5" customHeight="1">
      <c r="A98" s="57"/>
      <c r="B98" s="56" t="s">
        <v>384</v>
      </c>
      <c r="C98" s="476">
        <v>10</v>
      </c>
      <c r="D98" s="70" t="s">
        <v>180</v>
      </c>
      <c r="E98" s="415">
        <v>580</v>
      </c>
      <c r="F98" s="485">
        <f t="shared" si="33"/>
        <v>5800</v>
      </c>
      <c r="G98" s="485">
        <v>45</v>
      </c>
      <c r="H98" s="485">
        <f t="shared" si="32"/>
        <v>450</v>
      </c>
      <c r="I98" s="486">
        <f t="shared" si="30"/>
        <v>6250</v>
      </c>
      <c r="J98" s="56"/>
    </row>
    <row r="99" spans="1:13" s="445" customFormat="1" ht="19.5" customHeight="1">
      <c r="A99" s="57"/>
      <c r="B99" s="543" t="s">
        <v>347</v>
      </c>
      <c r="C99" s="544">
        <v>1</v>
      </c>
      <c r="D99" s="544" t="s">
        <v>19</v>
      </c>
      <c r="E99" s="545">
        <v>10000</v>
      </c>
      <c r="F99" s="81">
        <f t="shared" si="33"/>
        <v>10000</v>
      </c>
      <c r="G99" s="447" t="s">
        <v>260</v>
      </c>
      <c r="H99" s="447" t="s">
        <v>260</v>
      </c>
      <c r="I99" s="428">
        <f>SUM(F99)</f>
        <v>10000</v>
      </c>
      <c r="J99" s="56"/>
      <c r="K99" s="529">
        <v>0.12</v>
      </c>
    </row>
    <row r="100" spans="1:13" s="445" customFormat="1" ht="19.5" customHeight="1">
      <c r="A100" s="56"/>
      <c r="B100" s="475"/>
      <c r="C100" s="483"/>
      <c r="D100" s="477"/>
      <c r="E100" s="415"/>
      <c r="F100" s="81"/>
      <c r="G100" s="447"/>
      <c r="H100" s="447"/>
      <c r="I100" s="551"/>
      <c r="J100" s="56"/>
      <c r="K100" s="529"/>
      <c r="L100" s="482"/>
    </row>
    <row r="101" spans="1:13" s="445" customFormat="1" ht="19.5" customHeight="1">
      <c r="A101" s="56"/>
      <c r="B101" s="475"/>
      <c r="C101" s="483"/>
      <c r="D101" s="477"/>
      <c r="E101" s="415"/>
      <c r="F101" s="81"/>
      <c r="G101" s="447"/>
      <c r="H101" s="447"/>
      <c r="I101" s="551"/>
      <c r="J101" s="56"/>
      <c r="K101" s="529"/>
      <c r="L101" s="482"/>
    </row>
    <row r="102" spans="1:13" s="445" customFormat="1" ht="19.5" customHeight="1">
      <c r="A102" s="56"/>
      <c r="B102" s="475"/>
      <c r="C102" s="483"/>
      <c r="D102" s="477"/>
      <c r="E102" s="415"/>
      <c r="F102" s="81"/>
      <c r="G102" s="447"/>
      <c r="H102" s="447"/>
      <c r="I102" s="551"/>
      <c r="J102" s="56"/>
      <c r="K102" s="529"/>
      <c r="L102" s="482"/>
    </row>
    <row r="103" spans="1:13" s="445" customFormat="1" ht="19.5" customHeight="1">
      <c r="A103" s="56"/>
      <c r="B103" s="475"/>
      <c r="C103" s="483"/>
      <c r="D103" s="477"/>
      <c r="E103" s="415"/>
      <c r="F103" s="81"/>
      <c r="G103" s="447"/>
      <c r="H103" s="447"/>
      <c r="I103" s="551"/>
      <c r="J103" s="56"/>
      <c r="K103" s="529"/>
      <c r="L103" s="482"/>
    </row>
    <row r="104" spans="1:13" s="445" customFormat="1" ht="19.5" customHeight="1">
      <c r="A104" s="56"/>
      <c r="B104" s="475"/>
      <c r="C104" s="483"/>
      <c r="D104" s="477"/>
      <c r="E104" s="415"/>
      <c r="F104" s="81"/>
      <c r="G104" s="447"/>
      <c r="H104" s="447"/>
      <c r="I104" s="551"/>
      <c r="J104" s="56"/>
      <c r="K104" s="529"/>
      <c r="L104" s="482"/>
    </row>
    <row r="105" spans="1:13" s="445" customFormat="1" ht="19.5" customHeight="1">
      <c r="A105" s="57"/>
      <c r="B105" s="56"/>
      <c r="C105" s="57"/>
      <c r="D105" s="477"/>
      <c r="E105" s="415"/>
      <c r="F105" s="81"/>
      <c r="G105" s="415"/>
      <c r="H105" s="415"/>
      <c r="I105" s="416"/>
      <c r="J105" s="56"/>
    </row>
    <row r="106" spans="1:13" s="445" customFormat="1" ht="19.5" customHeight="1">
      <c r="A106" s="56"/>
      <c r="B106" s="56"/>
      <c r="C106" s="57"/>
      <c r="D106" s="477"/>
      <c r="E106" s="415"/>
      <c r="F106" s="81"/>
      <c r="G106" s="415"/>
      <c r="H106" s="415"/>
      <c r="I106" s="416"/>
      <c r="J106" s="56"/>
    </row>
    <row r="107" spans="1:13" ht="19.5" customHeight="1">
      <c r="A107" s="432"/>
      <c r="B107" s="57" t="s">
        <v>18</v>
      </c>
      <c r="C107" s="86"/>
      <c r="D107" s="57"/>
      <c r="E107" s="81"/>
      <c r="F107" s="433">
        <f>SUM(F90:F105)</f>
        <v>81527</v>
      </c>
      <c r="G107" s="434"/>
      <c r="H107" s="433">
        <f>SUM(H90:H105)</f>
        <v>21575</v>
      </c>
      <c r="I107" s="416"/>
      <c r="J107" s="55"/>
      <c r="K107" s="502">
        <f>+H107+F107</f>
        <v>103102</v>
      </c>
    </row>
    <row r="108" spans="1:13" ht="19.5" customHeight="1">
      <c r="A108" s="432"/>
      <c r="B108" s="412" t="s">
        <v>80</v>
      </c>
      <c r="C108" s="86"/>
      <c r="D108" s="57"/>
      <c r="E108" s="81"/>
      <c r="F108" s="415"/>
      <c r="G108" s="434"/>
      <c r="H108" s="435"/>
      <c r="I108" s="503">
        <f>SUM(I90:I106)</f>
        <v>103102</v>
      </c>
      <c r="J108" s="55"/>
      <c r="K108" s="61"/>
      <c r="L108" s="520" t="s">
        <v>349</v>
      </c>
      <c r="M108" s="521">
        <f>SUM(I108)</f>
        <v>103102</v>
      </c>
    </row>
    <row r="109" spans="1:13" s="445" customFormat="1" ht="19.5" customHeight="1">
      <c r="A109" s="57"/>
      <c r="B109" s="526" t="s">
        <v>367</v>
      </c>
      <c r="C109" s="476"/>
      <c r="D109" s="477"/>
      <c r="E109" s="81"/>
      <c r="F109" s="81"/>
      <c r="G109" s="415"/>
      <c r="H109" s="552"/>
      <c r="I109" s="428"/>
      <c r="J109" s="56"/>
      <c r="K109" s="534"/>
    </row>
    <row r="110" spans="1:13" s="445" customFormat="1" ht="19.5" customHeight="1">
      <c r="A110" s="57"/>
      <c r="B110" s="475" t="s">
        <v>368</v>
      </c>
      <c r="C110" s="476">
        <v>1</v>
      </c>
      <c r="D110" s="477" t="s">
        <v>335</v>
      </c>
      <c r="E110" s="415">
        <v>24500</v>
      </c>
      <c r="F110" s="485">
        <f>SUM(C110*E110)</f>
        <v>24500</v>
      </c>
      <c r="G110" s="485">
        <v>7000</v>
      </c>
      <c r="H110" s="485">
        <f t="shared" ref="H110:H119" si="34">SUM(C110*G110)</f>
        <v>7000</v>
      </c>
      <c r="I110" s="486">
        <f t="shared" ref="I110:I115" si="35">SUM(F110+H110)</f>
        <v>31500</v>
      </c>
      <c r="J110" s="56"/>
      <c r="K110" s="534"/>
    </row>
    <row r="111" spans="1:13" s="445" customFormat="1" ht="19.5" customHeight="1">
      <c r="A111" s="57"/>
      <c r="B111" s="56" t="s">
        <v>369</v>
      </c>
      <c r="C111" s="507">
        <v>1</v>
      </c>
      <c r="D111" s="70" t="s">
        <v>119</v>
      </c>
      <c r="E111" s="415">
        <v>16900</v>
      </c>
      <c r="F111" s="415">
        <f t="shared" ref="F111" si="36">C111*E111</f>
        <v>16900</v>
      </c>
      <c r="G111" s="415">
        <v>2000</v>
      </c>
      <c r="H111" s="415">
        <f t="shared" si="34"/>
        <v>2000</v>
      </c>
      <c r="I111" s="416">
        <f t="shared" si="35"/>
        <v>18900</v>
      </c>
      <c r="J111" s="56"/>
    </row>
    <row r="112" spans="1:13" s="445" customFormat="1" ht="19.5" customHeight="1">
      <c r="A112" s="57"/>
      <c r="B112" s="553" t="s">
        <v>370</v>
      </c>
      <c r="C112" s="535">
        <v>5</v>
      </c>
      <c r="D112" s="70" t="s">
        <v>119</v>
      </c>
      <c r="E112" s="415">
        <v>1495</v>
      </c>
      <c r="F112" s="485">
        <f t="shared" ref="F112:F120" si="37">SUM(C112*E112)</f>
        <v>7475</v>
      </c>
      <c r="G112" s="485">
        <v>200</v>
      </c>
      <c r="H112" s="485">
        <f t="shared" si="34"/>
        <v>1000</v>
      </c>
      <c r="I112" s="486">
        <f t="shared" si="35"/>
        <v>8475</v>
      </c>
      <c r="J112" s="56"/>
      <c r="K112" s="445" t="s">
        <v>371</v>
      </c>
    </row>
    <row r="113" spans="1:12" s="445" customFormat="1" ht="18.95" customHeight="1">
      <c r="A113" s="56"/>
      <c r="B113" s="475" t="s">
        <v>372</v>
      </c>
      <c r="C113" s="535">
        <v>4</v>
      </c>
      <c r="D113" s="538" t="s">
        <v>119</v>
      </c>
      <c r="E113" s="415">
        <v>767</v>
      </c>
      <c r="F113" s="485">
        <f t="shared" si="37"/>
        <v>3068</v>
      </c>
      <c r="G113" s="485">
        <v>150</v>
      </c>
      <c r="H113" s="485">
        <f t="shared" si="34"/>
        <v>600</v>
      </c>
      <c r="I113" s="486">
        <f t="shared" si="35"/>
        <v>3668</v>
      </c>
      <c r="J113" s="56"/>
      <c r="K113" s="445" t="s">
        <v>373</v>
      </c>
      <c r="L113" s="482"/>
    </row>
    <row r="114" spans="1:12" s="445" customFormat="1" ht="19.5" customHeight="1">
      <c r="A114" s="56"/>
      <c r="B114" s="553" t="s">
        <v>374</v>
      </c>
      <c r="C114" s="483">
        <v>24</v>
      </c>
      <c r="D114" s="538" t="s">
        <v>119</v>
      </c>
      <c r="E114" s="415">
        <v>1300</v>
      </c>
      <c r="F114" s="485">
        <f t="shared" si="37"/>
        <v>31200</v>
      </c>
      <c r="G114" s="485">
        <v>150</v>
      </c>
      <c r="H114" s="485">
        <f t="shared" si="34"/>
        <v>3600</v>
      </c>
      <c r="I114" s="486">
        <f t="shared" si="35"/>
        <v>34800</v>
      </c>
      <c r="J114" s="56"/>
      <c r="K114" s="554"/>
      <c r="L114" s="554"/>
    </row>
    <row r="115" spans="1:12" s="445" customFormat="1" ht="19.5" customHeight="1">
      <c r="A115" s="56"/>
      <c r="B115" s="553" t="s">
        <v>375</v>
      </c>
      <c r="C115" s="483">
        <v>2</v>
      </c>
      <c r="D115" s="538" t="s">
        <v>119</v>
      </c>
      <c r="E115" s="415">
        <v>485</v>
      </c>
      <c r="F115" s="485">
        <f t="shared" si="37"/>
        <v>970</v>
      </c>
      <c r="G115" s="485">
        <v>150</v>
      </c>
      <c r="H115" s="485">
        <f t="shared" si="34"/>
        <v>300</v>
      </c>
      <c r="I115" s="486">
        <f t="shared" si="35"/>
        <v>1270</v>
      </c>
      <c r="J115" s="56"/>
      <c r="K115" s="554"/>
      <c r="L115" s="554"/>
    </row>
    <row r="116" spans="1:12" s="445" customFormat="1" ht="18.95" customHeight="1">
      <c r="A116" s="56"/>
      <c r="B116" s="56" t="s">
        <v>342</v>
      </c>
      <c r="C116" s="555">
        <v>661</v>
      </c>
      <c r="D116" s="70" t="s">
        <v>180</v>
      </c>
      <c r="E116" s="415">
        <v>6</v>
      </c>
      <c r="F116" s="485">
        <f t="shared" si="37"/>
        <v>3966</v>
      </c>
      <c r="G116" s="485">
        <v>5</v>
      </c>
      <c r="H116" s="485">
        <f t="shared" si="34"/>
        <v>3305</v>
      </c>
      <c r="I116" s="486">
        <f>SUM(F116+H116)</f>
        <v>7271</v>
      </c>
      <c r="J116" s="56"/>
      <c r="L116" s="482"/>
    </row>
    <row r="117" spans="1:12" s="445" customFormat="1" ht="19.5" customHeight="1">
      <c r="A117" s="56"/>
      <c r="B117" s="56" t="s">
        <v>376</v>
      </c>
      <c r="C117" s="555">
        <v>211</v>
      </c>
      <c r="D117" s="70" t="s">
        <v>180</v>
      </c>
      <c r="E117" s="415">
        <v>48</v>
      </c>
      <c r="F117" s="485">
        <f t="shared" si="37"/>
        <v>10128</v>
      </c>
      <c r="G117" s="485">
        <v>12</v>
      </c>
      <c r="H117" s="485">
        <f t="shared" si="34"/>
        <v>2532</v>
      </c>
      <c r="I117" s="486">
        <f>SUM(F117+H117)</f>
        <v>12660</v>
      </c>
      <c r="J117" s="56"/>
      <c r="K117" s="554"/>
      <c r="L117" s="554"/>
    </row>
    <row r="118" spans="1:12" s="445" customFormat="1" ht="19.5" customHeight="1">
      <c r="A118" s="57"/>
      <c r="B118" s="56" t="s">
        <v>382</v>
      </c>
      <c r="C118" s="555">
        <v>88</v>
      </c>
      <c r="D118" s="70" t="s">
        <v>118</v>
      </c>
      <c r="E118" s="415">
        <v>76</v>
      </c>
      <c r="F118" s="485">
        <f t="shared" si="37"/>
        <v>6688</v>
      </c>
      <c r="G118" s="485">
        <v>66</v>
      </c>
      <c r="H118" s="485">
        <f t="shared" si="34"/>
        <v>5808</v>
      </c>
      <c r="I118" s="486">
        <f>SUM(F118+H118)</f>
        <v>12496</v>
      </c>
      <c r="J118" s="56"/>
    </row>
    <row r="119" spans="1:12" s="445" customFormat="1" ht="19.5" customHeight="1">
      <c r="A119" s="57"/>
      <c r="B119" s="56" t="s">
        <v>385</v>
      </c>
      <c r="C119" s="555">
        <v>34</v>
      </c>
      <c r="D119" s="70" t="s">
        <v>118</v>
      </c>
      <c r="E119" s="415">
        <v>216</v>
      </c>
      <c r="F119" s="485">
        <f t="shared" si="37"/>
        <v>7344</v>
      </c>
      <c r="G119" s="485">
        <v>84</v>
      </c>
      <c r="H119" s="485">
        <f t="shared" si="34"/>
        <v>2856</v>
      </c>
      <c r="I119" s="486">
        <f>SUM(F119+H119)</f>
        <v>10200</v>
      </c>
      <c r="J119" s="56"/>
    </row>
    <row r="120" spans="1:12" s="445" customFormat="1" ht="19.5" customHeight="1">
      <c r="A120" s="57"/>
      <c r="B120" s="475" t="s">
        <v>347</v>
      </c>
      <c r="C120" s="483">
        <v>1</v>
      </c>
      <c r="D120" s="477" t="s">
        <v>19</v>
      </c>
      <c r="E120" s="415">
        <v>15000</v>
      </c>
      <c r="F120" s="81">
        <f t="shared" si="37"/>
        <v>15000</v>
      </c>
      <c r="G120" s="447" t="s">
        <v>260</v>
      </c>
      <c r="H120" s="447" t="s">
        <v>260</v>
      </c>
      <c r="I120" s="428">
        <f>SUM(F120)</f>
        <v>15000</v>
      </c>
      <c r="J120" s="56"/>
      <c r="L120" s="445" t="s">
        <v>377</v>
      </c>
    </row>
    <row r="121" spans="1:12" s="445" customFormat="1" ht="19.5" customHeight="1">
      <c r="A121" s="56"/>
      <c r="B121" s="475"/>
      <c r="C121" s="483"/>
      <c r="D121" s="477"/>
      <c r="E121" s="415"/>
      <c r="F121" s="81"/>
      <c r="G121" s="447"/>
      <c r="H121" s="447"/>
      <c r="I121" s="551"/>
      <c r="J121" s="56"/>
      <c r="K121" s="529"/>
      <c r="L121" s="482"/>
    </row>
    <row r="122" spans="1:12">
      <c r="A122" s="56"/>
      <c r="B122" s="57" t="s">
        <v>18</v>
      </c>
      <c r="C122" s="86"/>
      <c r="D122" s="57"/>
      <c r="E122" s="81"/>
      <c r="F122" s="433">
        <f>SUM(F110:F121)</f>
        <v>127239</v>
      </c>
      <c r="G122" s="434"/>
      <c r="H122" s="433">
        <f>SUM(H110:H121)</f>
        <v>29001</v>
      </c>
      <c r="I122" s="416"/>
      <c r="J122" s="55"/>
      <c r="L122" s="10"/>
    </row>
    <row r="123" spans="1:12">
      <c r="A123" s="56"/>
      <c r="B123" s="412" t="s">
        <v>80</v>
      </c>
      <c r="C123" s="86"/>
      <c r="D123" s="57"/>
      <c r="E123" s="81"/>
      <c r="F123" s="415"/>
      <c r="G123" s="415"/>
      <c r="H123" s="415"/>
      <c r="I123" s="436">
        <f>SUM(I110:I122)</f>
        <v>156240</v>
      </c>
      <c r="J123" s="55"/>
      <c r="L123" s="10"/>
    </row>
    <row r="124" spans="1:12">
      <c r="A124" s="57"/>
      <c r="B124" s="56" t="s">
        <v>388</v>
      </c>
      <c r="C124" s="86">
        <v>1</v>
      </c>
      <c r="D124" s="57" t="s">
        <v>297</v>
      </c>
      <c r="E124" s="462">
        <f>+F122+F107+F87+F67+F46+F26</f>
        <v>1065239</v>
      </c>
      <c r="F124" s="462">
        <f>+E124*C124</f>
        <v>1065239</v>
      </c>
      <c r="G124" s="415">
        <f>+H122+H107+H87+H67+H46+H26</f>
        <v>289150</v>
      </c>
      <c r="H124" s="415">
        <f>+G124*C124</f>
        <v>289150</v>
      </c>
      <c r="I124" s="415">
        <f>+H124+F124</f>
        <v>1354389</v>
      </c>
      <c r="J124" s="55"/>
      <c r="K124" s="461">
        <f>+G124+E124</f>
        <v>1354389</v>
      </c>
      <c r="L124" s="10"/>
    </row>
    <row r="125" spans="1:12">
      <c r="A125" s="424"/>
      <c r="B125" s="56" t="s">
        <v>388</v>
      </c>
      <c r="C125" s="86">
        <v>2</v>
      </c>
      <c r="D125" s="57" t="s">
        <v>297</v>
      </c>
      <c r="E125" s="462">
        <f>+E124</f>
        <v>1065239</v>
      </c>
      <c r="F125" s="462">
        <f>+E125*C125</f>
        <v>2130478</v>
      </c>
      <c r="G125" s="415">
        <f>+G124</f>
        <v>289150</v>
      </c>
      <c r="H125" s="415">
        <f>+G125*C125</f>
        <v>578300</v>
      </c>
      <c r="I125" s="415">
        <f>+H125+F125</f>
        <v>2708778</v>
      </c>
      <c r="J125" s="55"/>
      <c r="K125" s="461">
        <f>+H125+F125</f>
        <v>2708778</v>
      </c>
      <c r="L125" s="10"/>
    </row>
    <row r="126" spans="1:12">
      <c r="A126" s="432"/>
      <c r="B126" s="443"/>
      <c r="C126" s="86"/>
      <c r="D126" s="57"/>
      <c r="E126" s="415"/>
      <c r="F126" s="415"/>
      <c r="G126" s="415"/>
      <c r="H126" s="415"/>
      <c r="I126" s="416"/>
      <c r="J126" s="55"/>
      <c r="L126" s="10"/>
    </row>
    <row r="127" spans="1:12">
      <c r="A127" s="432"/>
      <c r="B127" s="57"/>
      <c r="C127" s="86"/>
      <c r="D127" s="57"/>
      <c r="E127" s="415"/>
      <c r="F127" s="415"/>
      <c r="G127" s="415"/>
      <c r="H127" s="415"/>
      <c r="I127" s="416"/>
      <c r="J127" s="55"/>
      <c r="K127" s="461"/>
      <c r="L127" s="10"/>
    </row>
    <row r="128" spans="1:12" s="468" customFormat="1">
      <c r="A128" s="432"/>
      <c r="B128" s="412" t="s">
        <v>386</v>
      </c>
      <c r="C128" s="464">
        <v>2</v>
      </c>
      <c r="D128" s="412" t="s">
        <v>297</v>
      </c>
      <c r="E128" s="556"/>
      <c r="F128" s="556"/>
      <c r="G128" s="556"/>
      <c r="H128" s="556"/>
      <c r="I128" s="466">
        <f>+I125</f>
        <v>2708778</v>
      </c>
      <c r="J128" s="467"/>
    </row>
    <row r="129" spans="1:13" s="445" customFormat="1" ht="19.5" customHeight="1">
      <c r="A129" s="56"/>
      <c r="B129" s="475"/>
      <c r="C129" s="483"/>
      <c r="D129" s="477"/>
      <c r="E129" s="557"/>
      <c r="F129" s="558"/>
      <c r="G129" s="559"/>
      <c r="H129" s="559"/>
      <c r="I129" s="560"/>
      <c r="J129" s="56"/>
      <c r="K129" s="529"/>
      <c r="L129" s="482"/>
    </row>
    <row r="130" spans="1:13" s="445" customFormat="1" ht="19.5" customHeight="1">
      <c r="A130" s="56"/>
      <c r="B130" s="475"/>
      <c r="C130" s="483"/>
      <c r="D130" s="477"/>
      <c r="E130" s="557"/>
      <c r="F130" s="558"/>
      <c r="G130" s="559"/>
      <c r="H130" s="559"/>
      <c r="I130" s="560"/>
      <c r="J130" s="56"/>
      <c r="K130" s="529"/>
      <c r="L130" s="482"/>
    </row>
    <row r="131" spans="1:13" s="445" customFormat="1" ht="19.5" customHeight="1">
      <c r="A131" s="56"/>
      <c r="B131" s="475"/>
      <c r="C131" s="483"/>
      <c r="D131" s="477"/>
      <c r="E131" s="557"/>
      <c r="F131" s="558"/>
      <c r="G131" s="559"/>
      <c r="H131" s="559"/>
      <c r="I131" s="560"/>
      <c r="J131" s="56"/>
      <c r="K131" s="529"/>
      <c r="L131" s="482"/>
    </row>
    <row r="132" spans="1:13" s="445" customFormat="1" ht="19.5" customHeight="1">
      <c r="A132" s="57"/>
      <c r="B132" s="56"/>
      <c r="C132" s="57"/>
      <c r="D132" s="477"/>
      <c r="E132" s="557"/>
      <c r="F132" s="561"/>
      <c r="G132" s="562"/>
      <c r="H132" s="562"/>
      <c r="I132" s="193"/>
      <c r="J132" s="56"/>
    </row>
    <row r="133" spans="1:13" s="445" customFormat="1" ht="19.5" customHeight="1">
      <c r="A133" s="57"/>
      <c r="B133" s="56"/>
      <c r="C133" s="57"/>
      <c r="D133" s="477"/>
      <c r="E133" s="557"/>
      <c r="F133" s="558"/>
      <c r="G133" s="562"/>
      <c r="H133" s="562"/>
      <c r="I133" s="193"/>
      <c r="J133" s="56"/>
    </row>
    <row r="134" spans="1:13" s="445" customFormat="1" ht="19.5" customHeight="1">
      <c r="A134" s="56"/>
      <c r="B134" s="56"/>
      <c r="C134" s="57"/>
      <c r="D134" s="477"/>
      <c r="E134" s="557"/>
      <c r="F134" s="558"/>
      <c r="G134" s="562"/>
      <c r="H134" s="562"/>
      <c r="I134" s="193"/>
      <c r="J134" s="56"/>
    </row>
    <row r="135" spans="1:13" ht="19.5" customHeight="1">
      <c r="A135" s="432"/>
      <c r="B135" s="57"/>
      <c r="C135" s="86"/>
      <c r="D135" s="57"/>
      <c r="E135" s="59"/>
      <c r="F135" s="91"/>
      <c r="G135" s="87"/>
      <c r="H135" s="91"/>
      <c r="I135" s="54"/>
      <c r="J135" s="55"/>
      <c r="K135" s="502"/>
    </row>
    <row r="136" spans="1:13" ht="19.5" customHeight="1">
      <c r="A136" s="432"/>
      <c r="B136" s="412"/>
      <c r="C136" s="86"/>
      <c r="D136" s="57"/>
      <c r="E136" s="59"/>
      <c r="F136" s="60"/>
      <c r="G136" s="87"/>
      <c r="H136" s="88"/>
      <c r="I136" s="563"/>
      <c r="J136" s="55"/>
      <c r="K136" s="61"/>
      <c r="L136" s="520"/>
      <c r="M136" s="521"/>
    </row>
    <row r="137" spans="1:13">
      <c r="A137" s="57"/>
      <c r="B137" s="56"/>
      <c r="C137" s="86"/>
      <c r="D137" s="57"/>
      <c r="E137" s="60"/>
      <c r="F137" s="60"/>
      <c r="G137" s="60"/>
      <c r="H137" s="60"/>
      <c r="I137" s="60"/>
      <c r="J137" s="55"/>
      <c r="K137" s="461"/>
      <c r="L137" s="10"/>
    </row>
    <row r="138" spans="1:13">
      <c r="A138" s="424"/>
      <c r="B138" s="57"/>
      <c r="C138" s="86"/>
      <c r="D138" s="57"/>
      <c r="E138" s="60"/>
      <c r="F138" s="60"/>
      <c r="G138" s="60"/>
      <c r="H138" s="60"/>
      <c r="I138" s="193"/>
      <c r="J138" s="55"/>
      <c r="L138" s="10"/>
    </row>
    <row r="139" spans="1:13">
      <c r="A139" s="424"/>
      <c r="B139" s="56"/>
      <c r="C139" s="86"/>
      <c r="D139" s="57"/>
      <c r="E139" s="60"/>
      <c r="F139" s="60"/>
      <c r="G139" s="60"/>
      <c r="H139" s="60"/>
      <c r="I139" s="60"/>
      <c r="J139" s="55"/>
      <c r="K139" s="461"/>
      <c r="L139" s="10"/>
    </row>
    <row r="140" spans="1:13">
      <c r="A140" s="432"/>
      <c r="B140" s="443"/>
      <c r="C140" s="86"/>
      <c r="D140" s="57"/>
      <c r="E140" s="60"/>
      <c r="F140" s="60"/>
      <c r="G140" s="60"/>
      <c r="H140" s="60"/>
      <c r="I140" s="193"/>
      <c r="J140" s="55"/>
      <c r="L140" s="10"/>
    </row>
    <row r="141" spans="1:13">
      <c r="A141" s="432"/>
      <c r="B141" s="57"/>
      <c r="C141" s="86"/>
      <c r="D141" s="57"/>
      <c r="E141" s="60"/>
      <c r="F141" s="60"/>
      <c r="G141" s="60"/>
      <c r="H141" s="60"/>
      <c r="I141" s="193"/>
      <c r="J141" s="55"/>
      <c r="K141" s="461"/>
      <c r="L141" s="10"/>
    </row>
    <row r="142" spans="1:13" s="468" customFormat="1">
      <c r="A142" s="432"/>
      <c r="B142" s="412"/>
      <c r="C142" s="464"/>
      <c r="D142" s="412"/>
      <c r="E142" s="564"/>
      <c r="F142" s="564"/>
      <c r="G142" s="564"/>
      <c r="H142" s="564"/>
      <c r="I142" s="565"/>
      <c r="J142" s="467"/>
    </row>
    <row r="143" spans="1:13">
      <c r="A143" s="10"/>
      <c r="B143" s="8"/>
      <c r="L143" s="10"/>
    </row>
    <row r="144" spans="1:13">
      <c r="A144" s="10"/>
      <c r="B144" s="8"/>
      <c r="L144" s="10"/>
    </row>
    <row r="145" spans="1:12">
      <c r="A145" s="61"/>
      <c r="B145" s="8"/>
      <c r="L145" s="10"/>
    </row>
    <row r="146" spans="1:12">
      <c r="A146" s="10"/>
      <c r="B146" s="8"/>
      <c r="L146" s="10"/>
    </row>
    <row r="147" spans="1:12" s="28" customFormat="1">
      <c r="B147" s="27"/>
    </row>
    <row r="148" spans="1:12" s="28" customFormat="1">
      <c r="B148" s="27"/>
    </row>
    <row r="149" spans="1:12" s="28" customFormat="1">
      <c r="B149" s="27"/>
    </row>
    <row r="150" spans="1:12" s="28" customFormat="1">
      <c r="B150" s="27"/>
    </row>
    <row r="151" spans="1:12" s="28" customFormat="1">
      <c r="B151" s="27"/>
    </row>
    <row r="152" spans="1:12" s="28" customFormat="1">
      <c r="B152" s="27"/>
    </row>
    <row r="153" spans="1:12" s="28" customFormat="1">
      <c r="B153" s="27"/>
    </row>
    <row r="154" spans="1:12" s="28" customFormat="1">
      <c r="B154" s="27"/>
    </row>
    <row r="155" spans="1:12" s="28" customFormat="1">
      <c r="B155" s="27"/>
    </row>
    <row r="156" spans="1:12" s="28" customFormat="1">
      <c r="B156" s="27"/>
    </row>
    <row r="157" spans="1:12" s="28" customFormat="1">
      <c r="B157" s="27"/>
    </row>
    <row r="158" spans="1:12" s="28" customFormat="1">
      <c r="B158" s="27"/>
    </row>
    <row r="159" spans="1:12" s="28" customFormat="1">
      <c r="B159" s="27"/>
    </row>
    <row r="160" spans="1:12" s="28" customFormat="1">
      <c r="B160" s="27"/>
    </row>
    <row r="161" spans="1:12" s="28" customFormat="1">
      <c r="B161" s="27"/>
    </row>
    <row r="162" spans="1:12" s="28" customFormat="1">
      <c r="B162" s="27"/>
    </row>
    <row r="163" spans="1:12" s="28" customFormat="1">
      <c r="B163" s="27"/>
    </row>
    <row r="164" spans="1:12" s="28" customFormat="1">
      <c r="B164" s="27"/>
    </row>
    <row r="165" spans="1:12" s="28" customFormat="1">
      <c r="B165" s="27"/>
    </row>
    <row r="166" spans="1:12">
      <c r="A166" s="10"/>
      <c r="B166" s="8"/>
      <c r="L166" s="10"/>
    </row>
    <row r="167" spans="1:12">
      <c r="A167" s="61" t="e">
        <f>+#REF!+#REF!</f>
        <v>#REF!</v>
      </c>
      <c r="B167" s="8"/>
      <c r="L167" s="10"/>
    </row>
    <row r="168" spans="1:12">
      <c r="A168" s="10"/>
      <c r="B168" s="8"/>
      <c r="L168" s="10"/>
    </row>
    <row r="169" spans="1:12" ht="19.5" thickBot="1"/>
    <row r="170" spans="1:12" ht="19.5" thickBot="1">
      <c r="K170" s="470" t="e">
        <f>#REF!+#REF!+I117+I99+I86</f>
        <v>#REF!</v>
      </c>
      <c r="L170" s="8" t="s">
        <v>157</v>
      </c>
    </row>
  </sheetData>
  <mergeCells count="5">
    <mergeCell ref="A1:J1"/>
    <mergeCell ref="E6:F6"/>
    <mergeCell ref="G6:H6"/>
    <mergeCell ref="G90:H90"/>
    <mergeCell ref="G93:H93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53"/>
  <sheetViews>
    <sheetView view="pageBreakPreview" topLeftCell="B241" zoomScale="115" zoomScaleNormal="100" zoomScaleSheetLayoutView="115" workbookViewId="0">
      <selection activeCell="I251" sqref="I251"/>
    </sheetView>
  </sheetViews>
  <sheetFormatPr defaultColWidth="9.140625" defaultRowHeight="18.75"/>
  <cols>
    <col min="1" max="1" width="10.42578125" style="469" customWidth="1"/>
    <col min="2" max="2" width="57.28515625" style="10" customWidth="1"/>
    <col min="3" max="3" width="8.5703125" style="10" customWidth="1"/>
    <col min="4" max="4" width="7" style="10" customWidth="1"/>
    <col min="5" max="8" width="11.7109375" style="10" customWidth="1"/>
    <col min="9" max="9" width="13.140625" style="10" customWidth="1"/>
    <col min="10" max="10" width="8.85546875" style="10" customWidth="1"/>
    <col min="11" max="11" width="12" style="10" customWidth="1"/>
    <col min="12" max="12" width="13.85546875" style="8" bestFit="1" customWidth="1"/>
    <col min="13" max="14" width="13.85546875" style="10" bestFit="1" customWidth="1"/>
    <col min="15" max="16384" width="9.140625" style="10"/>
  </cols>
  <sheetData>
    <row r="1" spans="1:12" s="8" customFormat="1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>
      <c r="A2" s="64" t="s">
        <v>86</v>
      </c>
      <c r="B2" s="62" t="str">
        <f>'ใบสรุปแบบ ปร.5 (ก) '!B2</f>
        <v>งานอาคาร</v>
      </c>
      <c r="C2" s="65" t="s">
        <v>14</v>
      </c>
      <c r="D2" s="62" t="str">
        <f>+'แบบ ปร.6'!B4</f>
        <v>62-2-101,63-5-006,62-4-030</v>
      </c>
      <c r="E2" s="63"/>
      <c r="F2" s="62"/>
      <c r="G2" s="62"/>
      <c r="H2" s="65"/>
      <c r="I2" s="63"/>
      <c r="J2" s="63"/>
    </row>
    <row r="3" spans="1:12" s="8" customFormat="1">
      <c r="A3" s="64" t="s">
        <v>87</v>
      </c>
      <c r="B3" s="62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E3" s="100"/>
      <c r="F3" s="62"/>
      <c r="G3" s="62"/>
      <c r="H3" s="63"/>
      <c r="I3" s="63"/>
      <c r="J3" s="62"/>
    </row>
    <row r="4" spans="1:12" s="66" customFormat="1">
      <c r="A4" s="64" t="s">
        <v>81</v>
      </c>
      <c r="B4" s="62" t="str">
        <f>+'แบบ ปร.6'!B3</f>
        <v>จ.ชลบุรี</v>
      </c>
      <c r="C4" s="62" t="s">
        <v>84</v>
      </c>
      <c r="D4" s="62"/>
      <c r="F4" s="63"/>
      <c r="G4" s="63"/>
      <c r="H4" s="63"/>
      <c r="I4" s="63"/>
      <c r="J4" s="63"/>
    </row>
    <row r="5" spans="1:12" s="66" customFormat="1" ht="19.5" thickBot="1">
      <c r="A5" s="408"/>
      <c r="B5" s="125"/>
      <c r="C5" s="125"/>
      <c r="D5" s="125"/>
      <c r="E5" s="125"/>
      <c r="F5" s="125"/>
      <c r="G5" s="125"/>
      <c r="H5" s="125"/>
      <c r="I5" s="126"/>
      <c r="J5" s="126"/>
    </row>
    <row r="6" spans="1:12" ht="19.5" thickTop="1">
      <c r="A6" s="121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</row>
    <row r="7" spans="1:12" ht="19.5" thickBot="1">
      <c r="A7" s="40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K7" s="61"/>
    </row>
    <row r="8" spans="1:12" ht="19.5" thickTop="1">
      <c r="A8" s="410"/>
      <c r="B8" s="411" t="s">
        <v>660</v>
      </c>
      <c r="C8" s="68"/>
      <c r="D8" s="69"/>
      <c r="E8" s="566"/>
      <c r="F8" s="566"/>
      <c r="G8" s="566"/>
      <c r="H8" s="567"/>
      <c r="I8" s="567"/>
      <c r="J8" s="69"/>
    </row>
    <row r="9" spans="1:12" s="28" customFormat="1">
      <c r="A9" s="412"/>
      <c r="B9" s="522" t="s">
        <v>444</v>
      </c>
      <c r="C9" s="86"/>
      <c r="D9" s="57"/>
      <c r="E9" s="415"/>
      <c r="F9" s="415"/>
      <c r="G9" s="415"/>
      <c r="H9" s="415"/>
      <c r="I9" s="416"/>
      <c r="J9" s="55"/>
      <c r="L9" s="27"/>
    </row>
    <row r="10" spans="1:12" s="28" customFormat="1">
      <c r="A10" s="412"/>
      <c r="B10" s="55" t="s">
        <v>445</v>
      </c>
      <c r="C10" s="190">
        <v>385</v>
      </c>
      <c r="D10" s="190" t="s">
        <v>180</v>
      </c>
      <c r="E10" s="423">
        <v>13</v>
      </c>
      <c r="F10" s="423">
        <f>SUM(E10*C10)</f>
        <v>5005</v>
      </c>
      <c r="G10" s="423">
        <v>30</v>
      </c>
      <c r="H10" s="423">
        <f>SUM(G10*C10)</f>
        <v>11550</v>
      </c>
      <c r="I10" s="420">
        <f>SUM(H10+F10)</f>
        <v>16555</v>
      </c>
      <c r="J10" s="55"/>
      <c r="L10" s="27"/>
    </row>
    <row r="11" spans="1:12" s="28" customFormat="1">
      <c r="A11" s="412"/>
      <c r="B11" s="55" t="s">
        <v>446</v>
      </c>
      <c r="C11" s="190">
        <v>281</v>
      </c>
      <c r="D11" s="190" t="s">
        <v>180</v>
      </c>
      <c r="E11" s="423">
        <v>16</v>
      </c>
      <c r="F11" s="423">
        <f>SUM(E11*C11)</f>
        <v>4496</v>
      </c>
      <c r="G11" s="423">
        <v>30</v>
      </c>
      <c r="H11" s="423">
        <f>SUM(G11*C11)</f>
        <v>8430</v>
      </c>
      <c r="I11" s="420">
        <f>SUM(H11+F11)</f>
        <v>12926</v>
      </c>
      <c r="J11" s="55"/>
      <c r="L11" s="27"/>
    </row>
    <row r="12" spans="1:12" s="28" customFormat="1">
      <c r="A12" s="412"/>
      <c r="B12" s="522" t="s">
        <v>447</v>
      </c>
      <c r="C12" s="57"/>
      <c r="D12" s="57"/>
      <c r="E12" s="81"/>
      <c r="F12" s="415"/>
      <c r="G12" s="415"/>
      <c r="H12" s="415"/>
      <c r="I12" s="81"/>
      <c r="J12" s="55"/>
      <c r="L12" s="27"/>
    </row>
    <row r="13" spans="1:12" s="28" customFormat="1">
      <c r="A13" s="412"/>
      <c r="B13" s="55" t="s">
        <v>448</v>
      </c>
      <c r="C13" s="190">
        <v>184</v>
      </c>
      <c r="D13" s="190" t="s">
        <v>449</v>
      </c>
      <c r="E13" s="423">
        <v>4</v>
      </c>
      <c r="F13" s="423">
        <f t="shared" ref="F13:F23" si="0">SUM(C13*E13)</f>
        <v>736</v>
      </c>
      <c r="G13" s="207" t="s">
        <v>260</v>
      </c>
      <c r="H13" s="207" t="s">
        <v>260</v>
      </c>
      <c r="I13" s="420">
        <f t="shared" ref="I13:I22" si="1">SUM(F13)</f>
        <v>736</v>
      </c>
      <c r="J13" s="55"/>
      <c r="L13" s="27"/>
    </row>
    <row r="14" spans="1:12" s="28" customFormat="1">
      <c r="A14" s="412"/>
      <c r="B14" s="55" t="s">
        <v>450</v>
      </c>
      <c r="C14" s="190">
        <v>139</v>
      </c>
      <c r="D14" s="190" t="s">
        <v>449</v>
      </c>
      <c r="E14" s="423">
        <v>5</v>
      </c>
      <c r="F14" s="423">
        <f t="shared" si="0"/>
        <v>695</v>
      </c>
      <c r="G14" s="207" t="s">
        <v>260</v>
      </c>
      <c r="H14" s="207" t="s">
        <v>260</v>
      </c>
      <c r="I14" s="420">
        <f t="shared" si="1"/>
        <v>695</v>
      </c>
      <c r="J14" s="55"/>
      <c r="L14" s="27"/>
    </row>
    <row r="15" spans="1:12" s="28" customFormat="1">
      <c r="A15" s="412"/>
      <c r="B15" s="55" t="s">
        <v>451</v>
      </c>
      <c r="C15" s="190">
        <v>23</v>
      </c>
      <c r="D15" s="190" t="s">
        <v>449</v>
      </c>
      <c r="E15" s="423">
        <v>5</v>
      </c>
      <c r="F15" s="423">
        <f t="shared" si="0"/>
        <v>115</v>
      </c>
      <c r="G15" s="207" t="s">
        <v>260</v>
      </c>
      <c r="H15" s="207" t="s">
        <v>260</v>
      </c>
      <c r="I15" s="420">
        <f t="shared" si="1"/>
        <v>115</v>
      </c>
      <c r="J15" s="55"/>
      <c r="L15" s="27"/>
    </row>
    <row r="16" spans="1:12" s="28" customFormat="1">
      <c r="A16" s="412"/>
      <c r="B16" s="55" t="s">
        <v>452</v>
      </c>
      <c r="C16" s="190">
        <v>138</v>
      </c>
      <c r="D16" s="190" t="s">
        <v>449</v>
      </c>
      <c r="E16" s="423">
        <v>5</v>
      </c>
      <c r="F16" s="423">
        <f t="shared" si="0"/>
        <v>690</v>
      </c>
      <c r="G16" s="207" t="s">
        <v>260</v>
      </c>
      <c r="H16" s="207" t="s">
        <v>260</v>
      </c>
      <c r="I16" s="420">
        <f t="shared" si="1"/>
        <v>690</v>
      </c>
      <c r="J16" s="55"/>
      <c r="L16" s="27"/>
    </row>
    <row r="17" spans="1:12" s="28" customFormat="1">
      <c r="A17" s="412"/>
      <c r="B17" s="55" t="s">
        <v>453</v>
      </c>
      <c r="C17" s="190">
        <v>23</v>
      </c>
      <c r="D17" s="190" t="s">
        <v>449</v>
      </c>
      <c r="E17" s="423">
        <v>7</v>
      </c>
      <c r="F17" s="423">
        <f t="shared" si="0"/>
        <v>161</v>
      </c>
      <c r="G17" s="207" t="s">
        <v>260</v>
      </c>
      <c r="H17" s="207" t="s">
        <v>260</v>
      </c>
      <c r="I17" s="420">
        <f t="shared" si="1"/>
        <v>161</v>
      </c>
      <c r="J17" s="55"/>
      <c r="L17" s="27"/>
    </row>
    <row r="18" spans="1:12" s="28" customFormat="1">
      <c r="A18" s="412"/>
      <c r="B18" s="55" t="s">
        <v>454</v>
      </c>
      <c r="C18" s="190">
        <v>46</v>
      </c>
      <c r="D18" s="190" t="s">
        <v>449</v>
      </c>
      <c r="E18" s="423">
        <v>7</v>
      </c>
      <c r="F18" s="423">
        <f t="shared" si="0"/>
        <v>322</v>
      </c>
      <c r="G18" s="207" t="s">
        <v>260</v>
      </c>
      <c r="H18" s="207" t="s">
        <v>260</v>
      </c>
      <c r="I18" s="420">
        <f t="shared" si="1"/>
        <v>322</v>
      </c>
      <c r="J18" s="55"/>
      <c r="L18" s="27"/>
    </row>
    <row r="19" spans="1:12" s="28" customFormat="1">
      <c r="A19" s="412"/>
      <c r="B19" s="55" t="s">
        <v>455</v>
      </c>
      <c r="C19" s="190">
        <v>23</v>
      </c>
      <c r="D19" s="190" t="s">
        <v>449</v>
      </c>
      <c r="E19" s="423">
        <v>4</v>
      </c>
      <c r="F19" s="423">
        <f t="shared" si="0"/>
        <v>92</v>
      </c>
      <c r="G19" s="207" t="s">
        <v>260</v>
      </c>
      <c r="H19" s="207" t="s">
        <v>260</v>
      </c>
      <c r="I19" s="420">
        <f t="shared" si="1"/>
        <v>92</v>
      </c>
      <c r="J19" s="55"/>
      <c r="L19" s="27"/>
    </row>
    <row r="20" spans="1:12" s="28" customFormat="1">
      <c r="A20" s="412"/>
      <c r="B20" s="55" t="s">
        <v>456</v>
      </c>
      <c r="C20" s="190">
        <v>23</v>
      </c>
      <c r="D20" s="190" t="s">
        <v>449</v>
      </c>
      <c r="E20" s="423">
        <v>4</v>
      </c>
      <c r="F20" s="423">
        <f t="shared" si="0"/>
        <v>92</v>
      </c>
      <c r="G20" s="207" t="s">
        <v>260</v>
      </c>
      <c r="H20" s="207" t="s">
        <v>260</v>
      </c>
      <c r="I20" s="420">
        <f t="shared" si="1"/>
        <v>92</v>
      </c>
      <c r="J20" s="55"/>
      <c r="L20" s="27"/>
    </row>
    <row r="21" spans="1:12" s="28" customFormat="1">
      <c r="A21" s="412"/>
      <c r="B21" s="55" t="s">
        <v>457</v>
      </c>
      <c r="C21" s="190">
        <v>96</v>
      </c>
      <c r="D21" s="190" t="s">
        <v>449</v>
      </c>
      <c r="E21" s="423">
        <v>59</v>
      </c>
      <c r="F21" s="423">
        <f t="shared" si="0"/>
        <v>5664</v>
      </c>
      <c r="G21" s="207" t="s">
        <v>260</v>
      </c>
      <c r="H21" s="207" t="s">
        <v>260</v>
      </c>
      <c r="I21" s="420">
        <f t="shared" si="1"/>
        <v>5664</v>
      </c>
      <c r="J21" s="55"/>
      <c r="L21" s="27"/>
    </row>
    <row r="22" spans="1:12" s="28" customFormat="1">
      <c r="A22" s="412"/>
      <c r="B22" s="55" t="s">
        <v>458</v>
      </c>
      <c r="C22" s="190">
        <v>115</v>
      </c>
      <c r="D22" s="190" t="s">
        <v>449</v>
      </c>
      <c r="E22" s="423">
        <v>3</v>
      </c>
      <c r="F22" s="423">
        <f t="shared" si="0"/>
        <v>345</v>
      </c>
      <c r="G22" s="207" t="s">
        <v>260</v>
      </c>
      <c r="H22" s="207" t="s">
        <v>260</v>
      </c>
      <c r="I22" s="420">
        <f t="shared" si="1"/>
        <v>345</v>
      </c>
      <c r="J22" s="55"/>
      <c r="L22" s="27"/>
    </row>
    <row r="23" spans="1:12" s="28" customFormat="1">
      <c r="A23" s="412"/>
      <c r="B23" s="55" t="s">
        <v>459</v>
      </c>
      <c r="C23" s="190">
        <v>46</v>
      </c>
      <c r="D23" s="190" t="s">
        <v>449</v>
      </c>
      <c r="E23" s="423">
        <v>250</v>
      </c>
      <c r="F23" s="423">
        <f t="shared" si="0"/>
        <v>11500</v>
      </c>
      <c r="G23" s="423">
        <v>50</v>
      </c>
      <c r="H23" s="423">
        <f>SUM(G23*C23)</f>
        <v>2300</v>
      </c>
      <c r="I23" s="420">
        <f>SUM(H23+F23)</f>
        <v>13800</v>
      </c>
      <c r="J23" s="55"/>
      <c r="L23" s="27"/>
    </row>
    <row r="24" spans="1:12" s="28" customFormat="1">
      <c r="A24" s="432"/>
      <c r="B24" s="55"/>
      <c r="C24" s="190"/>
      <c r="D24" s="190"/>
      <c r="E24" s="423"/>
      <c r="F24" s="423"/>
      <c r="G24" s="449"/>
      <c r="H24" s="423"/>
      <c r="I24" s="420"/>
      <c r="J24" s="55"/>
      <c r="L24" s="27"/>
    </row>
    <row r="25" spans="1:12">
      <c r="A25" s="432"/>
      <c r="B25" s="57" t="s">
        <v>18</v>
      </c>
      <c r="C25" s="86"/>
      <c r="D25" s="57"/>
      <c r="E25" s="81"/>
      <c r="F25" s="433">
        <f>SUM(F9:F23)</f>
        <v>29913</v>
      </c>
      <c r="G25" s="434"/>
      <c r="H25" s="433">
        <f>SUM(H9:H23)</f>
        <v>22280</v>
      </c>
      <c r="I25" s="416"/>
      <c r="J25" s="55"/>
      <c r="K25" s="61">
        <f>+H25+F25</f>
        <v>52193</v>
      </c>
    </row>
    <row r="26" spans="1:12">
      <c r="A26" s="432"/>
      <c r="B26" s="412" t="s">
        <v>80</v>
      </c>
      <c r="C26" s="86"/>
      <c r="D26" s="57"/>
      <c r="E26" s="81"/>
      <c r="F26" s="415"/>
      <c r="G26" s="434"/>
      <c r="H26" s="435"/>
      <c r="I26" s="436">
        <f>SUM(I9:I23)</f>
        <v>52193</v>
      </c>
      <c r="J26" s="55"/>
      <c r="K26" s="61"/>
    </row>
    <row r="27" spans="1:12">
      <c r="A27" s="568"/>
      <c r="B27" s="411" t="s">
        <v>660</v>
      </c>
      <c r="C27" s="55"/>
      <c r="D27" s="55"/>
      <c r="E27" s="519"/>
      <c r="F27" s="519"/>
      <c r="G27" s="519"/>
      <c r="H27" s="519"/>
      <c r="I27" s="519"/>
      <c r="J27" s="55"/>
    </row>
    <row r="28" spans="1:12">
      <c r="A28" s="568"/>
      <c r="B28" s="467" t="s">
        <v>460</v>
      </c>
      <c r="C28" s="82"/>
      <c r="D28" s="57"/>
      <c r="E28" s="81"/>
      <c r="F28" s="415"/>
      <c r="G28" s="415"/>
      <c r="H28" s="415"/>
      <c r="I28" s="416"/>
      <c r="J28" s="55"/>
    </row>
    <row r="29" spans="1:12">
      <c r="A29" s="568"/>
      <c r="B29" s="569" t="s">
        <v>461</v>
      </c>
      <c r="C29" s="190"/>
      <c r="D29" s="190"/>
      <c r="E29" s="541"/>
      <c r="F29" s="541"/>
      <c r="G29" s="541"/>
      <c r="H29" s="541"/>
      <c r="I29" s="542"/>
      <c r="J29" s="55"/>
    </row>
    <row r="30" spans="1:12">
      <c r="A30" s="568"/>
      <c r="B30" s="55" t="s">
        <v>445</v>
      </c>
      <c r="C30" s="570">
        <v>23</v>
      </c>
      <c r="D30" s="190" t="s">
        <v>449</v>
      </c>
      <c r="E30" s="541">
        <v>240</v>
      </c>
      <c r="F30" s="541">
        <f>SUM(E30*C30)</f>
        <v>5520</v>
      </c>
      <c r="G30" s="423">
        <v>50</v>
      </c>
      <c r="H30" s="423">
        <f>SUM(G30*C30)</f>
        <v>1150</v>
      </c>
      <c r="I30" s="420">
        <f>SUM(H30+F30)</f>
        <v>6670</v>
      </c>
      <c r="J30" s="55"/>
    </row>
    <row r="31" spans="1:12">
      <c r="A31" s="568"/>
      <c r="B31" s="522" t="s">
        <v>462</v>
      </c>
      <c r="C31" s="55"/>
      <c r="D31" s="55"/>
      <c r="E31" s="519"/>
      <c r="F31" s="519"/>
      <c r="G31" s="519"/>
      <c r="H31" s="519"/>
      <c r="I31" s="519"/>
      <c r="J31" s="55"/>
    </row>
    <row r="32" spans="1:12">
      <c r="A32" s="568"/>
      <c r="B32" s="55" t="s">
        <v>463</v>
      </c>
      <c r="C32" s="190">
        <v>23</v>
      </c>
      <c r="D32" s="190" t="s">
        <v>119</v>
      </c>
      <c r="E32" s="423">
        <v>1150</v>
      </c>
      <c r="F32" s="423">
        <f>SUM(E32*C32)</f>
        <v>26450</v>
      </c>
      <c r="G32" s="423">
        <v>150</v>
      </c>
      <c r="H32" s="423">
        <f>SUM(G32*C32)</f>
        <v>3450</v>
      </c>
      <c r="I32" s="420">
        <f>SUM(H32+F32)</f>
        <v>29900</v>
      </c>
      <c r="J32" s="55"/>
    </row>
    <row r="33" spans="1:11">
      <c r="A33" s="568"/>
      <c r="B33" s="55" t="s">
        <v>464</v>
      </c>
      <c r="C33" s="190">
        <v>46</v>
      </c>
      <c r="D33" s="190" t="s">
        <v>119</v>
      </c>
      <c r="E33" s="423">
        <v>510</v>
      </c>
      <c r="F33" s="423">
        <f>SUM(E33*C33)</f>
        <v>23460</v>
      </c>
      <c r="G33" s="423">
        <v>150</v>
      </c>
      <c r="H33" s="423">
        <f>SUM(G33*C33)</f>
        <v>6900</v>
      </c>
      <c r="I33" s="420">
        <f>SUM(H33+F33)</f>
        <v>30360</v>
      </c>
      <c r="J33" s="55"/>
    </row>
    <row r="34" spans="1:11">
      <c r="A34" s="568"/>
      <c r="B34" s="55" t="s">
        <v>465</v>
      </c>
      <c r="C34" s="190">
        <v>46</v>
      </c>
      <c r="D34" s="190" t="s">
        <v>449</v>
      </c>
      <c r="E34" s="423">
        <v>59</v>
      </c>
      <c r="F34" s="423">
        <f>SUM(E34*C34)</f>
        <v>2714</v>
      </c>
      <c r="G34" s="207" t="s">
        <v>260</v>
      </c>
      <c r="H34" s="207" t="s">
        <v>260</v>
      </c>
      <c r="I34" s="420">
        <f>SUM(F34)</f>
        <v>2714</v>
      </c>
      <c r="J34" s="55"/>
    </row>
    <row r="35" spans="1:11">
      <c r="A35" s="568"/>
      <c r="B35" s="522" t="s">
        <v>466</v>
      </c>
      <c r="C35" s="55"/>
      <c r="D35" s="55"/>
      <c r="E35" s="519"/>
      <c r="F35" s="519"/>
      <c r="G35" s="519"/>
      <c r="H35" s="519"/>
      <c r="I35" s="519"/>
      <c r="J35" s="55"/>
    </row>
    <row r="36" spans="1:11">
      <c r="A36" s="568"/>
      <c r="B36" s="55" t="s">
        <v>467</v>
      </c>
      <c r="C36" s="190">
        <v>10</v>
      </c>
      <c r="D36" s="190" t="s">
        <v>180</v>
      </c>
      <c r="E36" s="423">
        <v>240</v>
      </c>
      <c r="F36" s="423">
        <f>SUM(E36*C36)</f>
        <v>2400</v>
      </c>
      <c r="G36" s="207" t="s">
        <v>260</v>
      </c>
      <c r="H36" s="207" t="s">
        <v>260</v>
      </c>
      <c r="I36" s="420">
        <f>SUM(F36)</f>
        <v>2400</v>
      </c>
      <c r="J36" s="55"/>
    </row>
    <row r="37" spans="1:11">
      <c r="A37" s="568"/>
      <c r="B37" s="55" t="s">
        <v>468</v>
      </c>
      <c r="C37" s="190">
        <v>63</v>
      </c>
      <c r="D37" s="190" t="s">
        <v>180</v>
      </c>
      <c r="E37" s="423">
        <v>381</v>
      </c>
      <c r="F37" s="423">
        <f>SUM(E37*C37)</f>
        <v>24003</v>
      </c>
      <c r="G37" s="207" t="s">
        <v>260</v>
      </c>
      <c r="H37" s="207" t="s">
        <v>260</v>
      </c>
      <c r="I37" s="420">
        <f>SUM(F37)</f>
        <v>24003</v>
      </c>
      <c r="J37" s="55"/>
    </row>
    <row r="38" spans="1:11">
      <c r="A38" s="568"/>
      <c r="B38" s="55" t="s">
        <v>469</v>
      </c>
      <c r="C38" s="190">
        <v>20</v>
      </c>
      <c r="D38" s="190" t="s">
        <v>180</v>
      </c>
      <c r="E38" s="423">
        <v>485</v>
      </c>
      <c r="F38" s="423">
        <f>SUM(E38*C38)</f>
        <v>9700</v>
      </c>
      <c r="G38" s="207" t="s">
        <v>260</v>
      </c>
      <c r="H38" s="207" t="s">
        <v>260</v>
      </c>
      <c r="I38" s="420">
        <f>SUM(F38)</f>
        <v>9700</v>
      </c>
      <c r="J38" s="55"/>
    </row>
    <row r="39" spans="1:11">
      <c r="A39" s="568"/>
      <c r="B39" s="55" t="s">
        <v>470</v>
      </c>
      <c r="C39" s="190">
        <v>33</v>
      </c>
      <c r="D39" s="190" t="s">
        <v>180</v>
      </c>
      <c r="E39" s="423">
        <v>658</v>
      </c>
      <c r="F39" s="423">
        <f>SUM(E39*C39)</f>
        <v>21714</v>
      </c>
      <c r="G39" s="207" t="s">
        <v>260</v>
      </c>
      <c r="H39" s="207" t="s">
        <v>260</v>
      </c>
      <c r="I39" s="420">
        <f>SUM(F39)</f>
        <v>21714</v>
      </c>
      <c r="J39" s="55"/>
    </row>
    <row r="40" spans="1:11">
      <c r="A40" s="568"/>
      <c r="B40" s="55" t="s">
        <v>471</v>
      </c>
      <c r="C40" s="190">
        <v>3</v>
      </c>
      <c r="D40" s="190" t="s">
        <v>180</v>
      </c>
      <c r="E40" s="423">
        <v>836</v>
      </c>
      <c r="F40" s="423">
        <f>SUM(E40*C40)</f>
        <v>2508</v>
      </c>
      <c r="G40" s="207" t="s">
        <v>260</v>
      </c>
      <c r="H40" s="207" t="s">
        <v>260</v>
      </c>
      <c r="I40" s="420">
        <f>SUM(F40)</f>
        <v>2508</v>
      </c>
      <c r="J40" s="55"/>
      <c r="K40" s="461">
        <f>SUM(I36:I40)</f>
        <v>60325</v>
      </c>
    </row>
    <row r="41" spans="1:11">
      <c r="A41" s="568"/>
      <c r="B41" s="55"/>
      <c r="C41" s="55"/>
      <c r="D41" s="55"/>
      <c r="E41" s="519"/>
      <c r="F41" s="519"/>
      <c r="G41" s="519"/>
      <c r="H41" s="519"/>
      <c r="I41" s="519"/>
      <c r="J41" s="55"/>
    </row>
    <row r="42" spans="1:11">
      <c r="A42" s="568"/>
      <c r="B42" s="55"/>
      <c r="C42" s="55"/>
      <c r="D42" s="55"/>
      <c r="E42" s="519"/>
      <c r="F42" s="519"/>
      <c r="G42" s="519"/>
      <c r="H42" s="519"/>
      <c r="I42" s="519"/>
      <c r="J42" s="55"/>
    </row>
    <row r="43" spans="1:11">
      <c r="A43" s="568"/>
      <c r="B43" s="55"/>
      <c r="C43" s="55"/>
      <c r="D43" s="55"/>
      <c r="E43" s="519"/>
      <c r="F43" s="519"/>
      <c r="G43" s="519"/>
      <c r="H43" s="519"/>
      <c r="I43" s="519"/>
      <c r="J43" s="55"/>
    </row>
    <row r="44" spans="1:11">
      <c r="A44" s="568"/>
      <c r="B44" s="57" t="s">
        <v>18</v>
      </c>
      <c r="C44" s="86"/>
      <c r="D44" s="57"/>
      <c r="E44" s="81"/>
      <c r="F44" s="433">
        <f>SUM(F28:F43)</f>
        <v>118469</v>
      </c>
      <c r="G44" s="434"/>
      <c r="H44" s="433">
        <f>SUM(H28:H43)</f>
        <v>11500</v>
      </c>
      <c r="I44" s="416"/>
      <c r="J44" s="55"/>
      <c r="K44" s="461">
        <f>+H44+F44</f>
        <v>129969</v>
      </c>
    </row>
    <row r="45" spans="1:11">
      <c r="A45" s="568"/>
      <c r="B45" s="412" t="s">
        <v>80</v>
      </c>
      <c r="C45" s="86"/>
      <c r="D45" s="57"/>
      <c r="E45" s="81"/>
      <c r="F45" s="415"/>
      <c r="G45" s="434"/>
      <c r="H45" s="435"/>
      <c r="I45" s="436">
        <f>SUM(I28:I43)</f>
        <v>129969</v>
      </c>
      <c r="J45" s="55"/>
      <c r="K45" s="61"/>
    </row>
    <row r="46" spans="1:11">
      <c r="A46" s="568"/>
      <c r="B46" s="411" t="s">
        <v>660</v>
      </c>
      <c r="C46" s="55"/>
      <c r="D46" s="55"/>
      <c r="E46" s="519"/>
      <c r="F46" s="519"/>
      <c r="G46" s="519"/>
      <c r="H46" s="519"/>
      <c r="I46" s="519"/>
      <c r="J46" s="55"/>
    </row>
    <row r="47" spans="1:11">
      <c r="A47" s="568"/>
      <c r="B47" s="522" t="s">
        <v>472</v>
      </c>
      <c r="C47" s="55"/>
      <c r="D47" s="55"/>
      <c r="E47" s="519"/>
      <c r="F47" s="519"/>
      <c r="G47" s="519"/>
      <c r="H47" s="519"/>
      <c r="I47" s="519"/>
      <c r="J47" s="55"/>
    </row>
    <row r="48" spans="1:11">
      <c r="A48" s="568"/>
      <c r="B48" s="55" t="s">
        <v>473</v>
      </c>
      <c r="C48" s="190">
        <v>2</v>
      </c>
      <c r="D48" s="190" t="s">
        <v>449</v>
      </c>
      <c r="E48" s="423">
        <v>135</v>
      </c>
      <c r="F48" s="423">
        <f t="shared" ref="F48:F59" si="2">SUM(C48*E48)</f>
        <v>270</v>
      </c>
      <c r="G48" s="207" t="s">
        <v>260</v>
      </c>
      <c r="H48" s="207" t="s">
        <v>260</v>
      </c>
      <c r="I48" s="420">
        <f t="shared" ref="I48:I59" si="3">SUM(F48)</f>
        <v>270</v>
      </c>
      <c r="J48" s="55"/>
    </row>
    <row r="49" spans="1:11">
      <c r="A49" s="568"/>
      <c r="B49" s="55" t="s">
        <v>474</v>
      </c>
      <c r="C49" s="190">
        <v>3</v>
      </c>
      <c r="D49" s="190" t="s">
        <v>449</v>
      </c>
      <c r="E49" s="423">
        <v>330</v>
      </c>
      <c r="F49" s="423">
        <f t="shared" si="2"/>
        <v>990</v>
      </c>
      <c r="G49" s="207" t="s">
        <v>260</v>
      </c>
      <c r="H49" s="207" t="s">
        <v>260</v>
      </c>
      <c r="I49" s="420">
        <f t="shared" si="3"/>
        <v>990</v>
      </c>
      <c r="J49" s="55"/>
    </row>
    <row r="50" spans="1:11">
      <c r="A50" s="568"/>
      <c r="B50" s="55" t="s">
        <v>475</v>
      </c>
      <c r="C50" s="190">
        <v>6</v>
      </c>
      <c r="D50" s="190" t="s">
        <v>449</v>
      </c>
      <c r="E50" s="423">
        <v>75</v>
      </c>
      <c r="F50" s="423">
        <f t="shared" si="2"/>
        <v>450</v>
      </c>
      <c r="G50" s="207" t="s">
        <v>260</v>
      </c>
      <c r="H50" s="207" t="s">
        <v>260</v>
      </c>
      <c r="I50" s="420">
        <f t="shared" si="3"/>
        <v>450</v>
      </c>
      <c r="J50" s="55"/>
    </row>
    <row r="51" spans="1:11">
      <c r="A51" s="568"/>
      <c r="B51" s="55" t="s">
        <v>476</v>
      </c>
      <c r="C51" s="190">
        <v>6</v>
      </c>
      <c r="D51" s="190" t="s">
        <v>449</v>
      </c>
      <c r="E51" s="423">
        <v>135</v>
      </c>
      <c r="F51" s="423">
        <f t="shared" si="2"/>
        <v>810</v>
      </c>
      <c r="G51" s="207" t="s">
        <v>260</v>
      </c>
      <c r="H51" s="207" t="s">
        <v>260</v>
      </c>
      <c r="I51" s="420">
        <f t="shared" si="3"/>
        <v>810</v>
      </c>
      <c r="J51" s="55"/>
    </row>
    <row r="52" spans="1:11">
      <c r="A52" s="568"/>
      <c r="B52" s="55" t="s">
        <v>477</v>
      </c>
      <c r="C52" s="190">
        <v>4</v>
      </c>
      <c r="D52" s="190" t="s">
        <v>449</v>
      </c>
      <c r="E52" s="423">
        <v>179</v>
      </c>
      <c r="F52" s="423">
        <f t="shared" si="2"/>
        <v>716</v>
      </c>
      <c r="G52" s="207" t="s">
        <v>260</v>
      </c>
      <c r="H52" s="207" t="s">
        <v>260</v>
      </c>
      <c r="I52" s="420">
        <f t="shared" si="3"/>
        <v>716</v>
      </c>
      <c r="J52" s="55"/>
    </row>
    <row r="53" spans="1:11">
      <c r="A53" s="568"/>
      <c r="B53" s="55" t="s">
        <v>478</v>
      </c>
      <c r="C53" s="190">
        <v>6</v>
      </c>
      <c r="D53" s="190" t="s">
        <v>449</v>
      </c>
      <c r="E53" s="423">
        <v>96</v>
      </c>
      <c r="F53" s="423">
        <f t="shared" si="2"/>
        <v>576</v>
      </c>
      <c r="G53" s="207" t="s">
        <v>260</v>
      </c>
      <c r="H53" s="207" t="s">
        <v>260</v>
      </c>
      <c r="I53" s="420">
        <f t="shared" si="3"/>
        <v>576</v>
      </c>
      <c r="J53" s="55"/>
    </row>
    <row r="54" spans="1:11">
      <c r="A54" s="568"/>
      <c r="B54" s="55" t="s">
        <v>479</v>
      </c>
      <c r="C54" s="190">
        <v>6</v>
      </c>
      <c r="D54" s="190" t="s">
        <v>449</v>
      </c>
      <c r="E54" s="423">
        <v>177</v>
      </c>
      <c r="F54" s="423">
        <f t="shared" si="2"/>
        <v>1062</v>
      </c>
      <c r="G54" s="207" t="s">
        <v>260</v>
      </c>
      <c r="H54" s="207" t="s">
        <v>260</v>
      </c>
      <c r="I54" s="420">
        <f t="shared" si="3"/>
        <v>1062</v>
      </c>
      <c r="J54" s="55"/>
    </row>
    <row r="55" spans="1:11">
      <c r="A55" s="568"/>
      <c r="B55" s="55" t="s">
        <v>480</v>
      </c>
      <c r="C55" s="190">
        <v>1</v>
      </c>
      <c r="D55" s="190" t="s">
        <v>449</v>
      </c>
      <c r="E55" s="423">
        <v>772</v>
      </c>
      <c r="F55" s="423">
        <f t="shared" si="2"/>
        <v>772</v>
      </c>
      <c r="G55" s="207" t="s">
        <v>260</v>
      </c>
      <c r="H55" s="207" t="s">
        <v>260</v>
      </c>
      <c r="I55" s="420">
        <f t="shared" si="3"/>
        <v>772</v>
      </c>
      <c r="J55" s="55"/>
    </row>
    <row r="56" spans="1:11">
      <c r="A56" s="568"/>
      <c r="B56" s="55" t="s">
        <v>481</v>
      </c>
      <c r="C56" s="190">
        <v>6</v>
      </c>
      <c r="D56" s="190" t="s">
        <v>449</v>
      </c>
      <c r="E56" s="423">
        <v>107</v>
      </c>
      <c r="F56" s="423">
        <f t="shared" si="2"/>
        <v>642</v>
      </c>
      <c r="G56" s="207" t="s">
        <v>260</v>
      </c>
      <c r="H56" s="207" t="s">
        <v>260</v>
      </c>
      <c r="I56" s="420">
        <f t="shared" si="3"/>
        <v>642</v>
      </c>
      <c r="J56" s="55"/>
    </row>
    <row r="57" spans="1:11">
      <c r="A57" s="568"/>
      <c r="B57" s="55" t="s">
        <v>482</v>
      </c>
      <c r="C57" s="190">
        <v>4</v>
      </c>
      <c r="D57" s="190" t="s">
        <v>449</v>
      </c>
      <c r="E57" s="423">
        <v>163</v>
      </c>
      <c r="F57" s="423">
        <f t="shared" si="2"/>
        <v>652</v>
      </c>
      <c r="G57" s="207" t="s">
        <v>260</v>
      </c>
      <c r="H57" s="207" t="s">
        <v>260</v>
      </c>
      <c r="I57" s="420">
        <f t="shared" si="3"/>
        <v>652</v>
      </c>
      <c r="J57" s="55"/>
    </row>
    <row r="58" spans="1:11">
      <c r="A58" s="568"/>
      <c r="B58" s="55" t="s">
        <v>483</v>
      </c>
      <c r="C58" s="190">
        <v>2</v>
      </c>
      <c r="D58" s="190" t="s">
        <v>449</v>
      </c>
      <c r="E58" s="423">
        <v>257</v>
      </c>
      <c r="F58" s="423">
        <f t="shared" si="2"/>
        <v>514</v>
      </c>
      <c r="G58" s="207" t="s">
        <v>260</v>
      </c>
      <c r="H58" s="207" t="s">
        <v>260</v>
      </c>
      <c r="I58" s="420">
        <f t="shared" si="3"/>
        <v>514</v>
      </c>
      <c r="J58" s="55"/>
    </row>
    <row r="59" spans="1:11">
      <c r="A59" s="568"/>
      <c r="B59" s="55" t="s">
        <v>484</v>
      </c>
      <c r="C59" s="190">
        <v>1</v>
      </c>
      <c r="D59" s="190" t="s">
        <v>449</v>
      </c>
      <c r="E59" s="423">
        <v>372</v>
      </c>
      <c r="F59" s="423">
        <f t="shared" si="2"/>
        <v>372</v>
      </c>
      <c r="G59" s="207" t="s">
        <v>260</v>
      </c>
      <c r="H59" s="207" t="s">
        <v>260</v>
      </c>
      <c r="I59" s="420">
        <f t="shared" si="3"/>
        <v>372</v>
      </c>
      <c r="J59" s="55"/>
    </row>
    <row r="60" spans="1:11">
      <c r="A60" s="568"/>
      <c r="B60" s="55"/>
      <c r="C60" s="190"/>
      <c r="D60" s="190"/>
      <c r="E60" s="423"/>
      <c r="F60" s="423"/>
      <c r="G60" s="207"/>
      <c r="H60" s="207"/>
      <c r="I60" s="420"/>
      <c r="J60" s="55"/>
    </row>
    <row r="61" spans="1:11">
      <c r="A61" s="568"/>
      <c r="B61" s="55"/>
      <c r="C61" s="190"/>
      <c r="D61" s="190"/>
      <c r="E61" s="423"/>
      <c r="F61" s="423"/>
      <c r="G61" s="207"/>
      <c r="H61" s="207"/>
      <c r="I61" s="420"/>
      <c r="J61" s="55"/>
    </row>
    <row r="62" spans="1:11">
      <c r="A62" s="568"/>
      <c r="B62" s="55"/>
      <c r="C62" s="55"/>
      <c r="D62" s="55"/>
      <c r="E62" s="519"/>
      <c r="F62" s="519"/>
      <c r="G62" s="519"/>
      <c r="H62" s="519"/>
      <c r="I62" s="519"/>
      <c r="J62" s="55"/>
    </row>
    <row r="63" spans="1:11">
      <c r="A63" s="568"/>
      <c r="B63" s="57" t="s">
        <v>18</v>
      </c>
      <c r="C63" s="86"/>
      <c r="D63" s="57"/>
      <c r="E63" s="81"/>
      <c r="F63" s="433">
        <f>SUM(F47:F62)</f>
        <v>7826</v>
      </c>
      <c r="G63" s="434"/>
      <c r="H63" s="433">
        <f>SUM(H47:H62)</f>
        <v>0</v>
      </c>
      <c r="I63" s="416"/>
      <c r="J63" s="55"/>
      <c r="K63" s="461">
        <f>+H63+F63</f>
        <v>7826</v>
      </c>
    </row>
    <row r="64" spans="1:11">
      <c r="A64" s="568"/>
      <c r="B64" s="412" t="s">
        <v>80</v>
      </c>
      <c r="C64" s="86"/>
      <c r="D64" s="57"/>
      <c r="E64" s="81"/>
      <c r="F64" s="415"/>
      <c r="G64" s="434"/>
      <c r="H64" s="435"/>
      <c r="I64" s="436">
        <f>SUM(I47:I62)</f>
        <v>7826</v>
      </c>
      <c r="J64" s="55"/>
      <c r="K64" s="61"/>
    </row>
    <row r="65" spans="1:10">
      <c r="A65" s="568"/>
      <c r="B65" s="411" t="s">
        <v>145</v>
      </c>
      <c r="C65" s="55"/>
      <c r="D65" s="55"/>
      <c r="E65" s="519"/>
      <c r="F65" s="519"/>
      <c r="G65" s="519"/>
      <c r="H65" s="519"/>
      <c r="I65" s="519"/>
      <c r="J65" s="55"/>
    </row>
    <row r="66" spans="1:10">
      <c r="A66" s="568"/>
      <c r="B66" s="522" t="s">
        <v>485</v>
      </c>
      <c r="C66" s="190"/>
      <c r="D66" s="190"/>
      <c r="E66" s="423"/>
      <c r="F66" s="423"/>
      <c r="G66" s="423"/>
      <c r="H66" s="423"/>
      <c r="I66" s="420"/>
      <c r="J66" s="55"/>
    </row>
    <row r="67" spans="1:10">
      <c r="A67" s="568"/>
      <c r="B67" s="55" t="s">
        <v>486</v>
      </c>
      <c r="C67" s="190">
        <v>52</v>
      </c>
      <c r="D67" s="190" t="s">
        <v>180</v>
      </c>
      <c r="E67" s="423">
        <v>86</v>
      </c>
      <c r="F67" s="423">
        <f>SUM(E67*C67)</f>
        <v>4472</v>
      </c>
      <c r="G67" s="423">
        <v>75</v>
      </c>
      <c r="H67" s="423">
        <f>SUM(G67*C67)</f>
        <v>3900</v>
      </c>
      <c r="I67" s="420">
        <f>SUM(H67+F67)</f>
        <v>8372</v>
      </c>
      <c r="J67" s="55"/>
    </row>
    <row r="68" spans="1:10">
      <c r="A68" s="568"/>
      <c r="B68" s="55" t="s">
        <v>487</v>
      </c>
      <c r="C68" s="190">
        <v>22</v>
      </c>
      <c r="D68" s="190" t="s">
        <v>180</v>
      </c>
      <c r="E68" s="423">
        <v>166</v>
      </c>
      <c r="F68" s="423">
        <f>SUM(E68*C68)</f>
        <v>3652</v>
      </c>
      <c r="G68" s="423">
        <v>150</v>
      </c>
      <c r="H68" s="423">
        <f>SUM(G68*C68)</f>
        <v>3300</v>
      </c>
      <c r="I68" s="420">
        <f>SUM(H68+F68)</f>
        <v>6952</v>
      </c>
      <c r="J68" s="55"/>
    </row>
    <row r="69" spans="1:10">
      <c r="A69" s="568"/>
      <c r="B69" s="522" t="s">
        <v>488</v>
      </c>
      <c r="C69" s="55"/>
      <c r="D69" s="55"/>
      <c r="E69" s="519"/>
      <c r="F69" s="519"/>
      <c r="G69" s="519"/>
      <c r="H69" s="519"/>
      <c r="I69" s="519"/>
      <c r="J69" s="55"/>
    </row>
    <row r="70" spans="1:10">
      <c r="A70" s="568"/>
      <c r="B70" s="55" t="s">
        <v>489</v>
      </c>
      <c r="C70" s="190">
        <v>6</v>
      </c>
      <c r="D70" s="190" t="s">
        <v>449</v>
      </c>
      <c r="E70" s="423">
        <v>320</v>
      </c>
      <c r="F70" s="423">
        <f t="shared" ref="F70:F78" si="4">SUM(C70*E70)</f>
        <v>1920</v>
      </c>
      <c r="G70" s="207" t="s">
        <v>260</v>
      </c>
      <c r="H70" s="207" t="s">
        <v>260</v>
      </c>
      <c r="I70" s="420">
        <f t="shared" ref="I70:I78" si="5">SUM(F70)</f>
        <v>1920</v>
      </c>
      <c r="J70" s="55"/>
    </row>
    <row r="71" spans="1:10">
      <c r="A71" s="568"/>
      <c r="B71" s="55" t="s">
        <v>490</v>
      </c>
      <c r="C71" s="190">
        <v>2</v>
      </c>
      <c r="D71" s="190" t="s">
        <v>449</v>
      </c>
      <c r="E71" s="423">
        <v>550</v>
      </c>
      <c r="F71" s="423">
        <f t="shared" si="4"/>
        <v>1100</v>
      </c>
      <c r="G71" s="207" t="s">
        <v>260</v>
      </c>
      <c r="H71" s="207" t="s">
        <v>260</v>
      </c>
      <c r="I71" s="420">
        <f t="shared" si="5"/>
        <v>1100</v>
      </c>
      <c r="J71" s="55"/>
    </row>
    <row r="72" spans="1:10">
      <c r="A72" s="568"/>
      <c r="B72" s="55" t="s">
        <v>578</v>
      </c>
      <c r="C72" s="190">
        <v>3</v>
      </c>
      <c r="D72" s="190" t="s">
        <v>449</v>
      </c>
      <c r="E72" s="423">
        <v>340</v>
      </c>
      <c r="F72" s="423">
        <f t="shared" si="4"/>
        <v>1020</v>
      </c>
      <c r="G72" s="207" t="s">
        <v>260</v>
      </c>
      <c r="H72" s="207" t="s">
        <v>260</v>
      </c>
      <c r="I72" s="420">
        <f t="shared" si="5"/>
        <v>1020</v>
      </c>
      <c r="J72" s="55"/>
    </row>
    <row r="73" spans="1:10">
      <c r="A73" s="568"/>
      <c r="B73" s="55" t="s">
        <v>579</v>
      </c>
      <c r="C73" s="190">
        <v>2</v>
      </c>
      <c r="D73" s="190" t="s">
        <v>449</v>
      </c>
      <c r="E73" s="423">
        <v>600</v>
      </c>
      <c r="F73" s="423">
        <f t="shared" si="4"/>
        <v>1200</v>
      </c>
      <c r="G73" s="207" t="s">
        <v>260</v>
      </c>
      <c r="H73" s="207" t="s">
        <v>260</v>
      </c>
      <c r="I73" s="420">
        <f t="shared" si="5"/>
        <v>1200</v>
      </c>
      <c r="J73" s="55"/>
    </row>
    <row r="74" spans="1:10">
      <c r="A74" s="568"/>
      <c r="B74" s="55" t="s">
        <v>491</v>
      </c>
      <c r="C74" s="190">
        <v>1</v>
      </c>
      <c r="D74" s="190" t="s">
        <v>449</v>
      </c>
      <c r="E74" s="423">
        <v>480</v>
      </c>
      <c r="F74" s="423">
        <f t="shared" si="4"/>
        <v>480</v>
      </c>
      <c r="G74" s="207" t="s">
        <v>260</v>
      </c>
      <c r="H74" s="207" t="s">
        <v>260</v>
      </c>
      <c r="I74" s="420">
        <f t="shared" si="5"/>
        <v>480</v>
      </c>
      <c r="J74" s="55"/>
    </row>
    <row r="75" spans="1:10">
      <c r="A75" s="568"/>
      <c r="B75" s="55" t="s">
        <v>492</v>
      </c>
      <c r="C75" s="190">
        <v>3</v>
      </c>
      <c r="D75" s="190" t="s">
        <v>449</v>
      </c>
      <c r="E75" s="423">
        <v>1000</v>
      </c>
      <c r="F75" s="423">
        <f t="shared" si="4"/>
        <v>3000</v>
      </c>
      <c r="G75" s="207" t="s">
        <v>260</v>
      </c>
      <c r="H75" s="207" t="s">
        <v>260</v>
      </c>
      <c r="I75" s="420">
        <f t="shared" si="5"/>
        <v>3000</v>
      </c>
      <c r="J75" s="55"/>
    </row>
    <row r="76" spans="1:10">
      <c r="A76" s="568"/>
      <c r="B76" s="55" t="s">
        <v>493</v>
      </c>
      <c r="C76" s="190">
        <v>1</v>
      </c>
      <c r="D76" s="190" t="s">
        <v>449</v>
      </c>
      <c r="E76" s="423">
        <v>130</v>
      </c>
      <c r="F76" s="423">
        <f t="shared" si="4"/>
        <v>130</v>
      </c>
      <c r="G76" s="207" t="s">
        <v>260</v>
      </c>
      <c r="H76" s="207" t="s">
        <v>260</v>
      </c>
      <c r="I76" s="420">
        <f t="shared" si="5"/>
        <v>130</v>
      </c>
      <c r="J76" s="55"/>
    </row>
    <row r="77" spans="1:10">
      <c r="A77" s="568"/>
      <c r="B77" s="55" t="s">
        <v>494</v>
      </c>
      <c r="C77" s="190">
        <v>7</v>
      </c>
      <c r="D77" s="190" t="s">
        <v>119</v>
      </c>
      <c r="E77" s="423">
        <v>689</v>
      </c>
      <c r="F77" s="423">
        <f t="shared" si="4"/>
        <v>4823</v>
      </c>
      <c r="G77" s="207" t="s">
        <v>260</v>
      </c>
      <c r="H77" s="207" t="s">
        <v>260</v>
      </c>
      <c r="I77" s="420">
        <f t="shared" si="5"/>
        <v>4823</v>
      </c>
      <c r="J77" s="55"/>
    </row>
    <row r="78" spans="1:10">
      <c r="A78" s="568"/>
      <c r="B78" s="55" t="s">
        <v>495</v>
      </c>
      <c r="C78" s="190">
        <v>5</v>
      </c>
      <c r="D78" s="190" t="s">
        <v>119</v>
      </c>
      <c r="E78" s="423">
        <v>1114</v>
      </c>
      <c r="F78" s="423">
        <f t="shared" si="4"/>
        <v>5570</v>
      </c>
      <c r="G78" s="207" t="s">
        <v>260</v>
      </c>
      <c r="H78" s="207" t="s">
        <v>260</v>
      </c>
      <c r="I78" s="420">
        <f t="shared" si="5"/>
        <v>5570</v>
      </c>
      <c r="J78" s="55"/>
    </row>
    <row r="79" spans="1:10">
      <c r="A79" s="568"/>
      <c r="B79" s="55"/>
      <c r="C79" s="55"/>
      <c r="D79" s="55"/>
      <c r="E79" s="519"/>
      <c r="F79" s="519"/>
      <c r="G79" s="519"/>
      <c r="H79" s="519"/>
      <c r="I79" s="519"/>
      <c r="J79" s="55"/>
    </row>
    <row r="80" spans="1:10">
      <c r="A80" s="568"/>
      <c r="B80" s="55"/>
      <c r="C80" s="55"/>
      <c r="D80" s="55"/>
      <c r="E80" s="519"/>
      <c r="F80" s="519"/>
      <c r="G80" s="519"/>
      <c r="H80" s="519"/>
      <c r="I80" s="519"/>
      <c r="J80" s="55"/>
    </row>
    <row r="81" spans="1:11">
      <c r="A81" s="568"/>
      <c r="B81" s="55"/>
      <c r="C81" s="55"/>
      <c r="D81" s="55"/>
      <c r="E81" s="519"/>
      <c r="F81" s="519"/>
      <c r="G81" s="519"/>
      <c r="H81" s="519"/>
      <c r="I81" s="519"/>
      <c r="J81" s="55"/>
    </row>
    <row r="82" spans="1:11">
      <c r="A82" s="568"/>
      <c r="B82" s="57" t="s">
        <v>18</v>
      </c>
      <c r="C82" s="86"/>
      <c r="D82" s="57"/>
      <c r="E82" s="81"/>
      <c r="F82" s="433">
        <f>SUM(F66:F81)</f>
        <v>27367</v>
      </c>
      <c r="G82" s="434"/>
      <c r="H82" s="433">
        <f>SUM(H66:H81)</f>
        <v>7200</v>
      </c>
      <c r="I82" s="416"/>
      <c r="J82" s="55"/>
      <c r="K82" s="461">
        <f>+H82+F82</f>
        <v>34567</v>
      </c>
    </row>
    <row r="83" spans="1:11">
      <c r="A83" s="568"/>
      <c r="B83" s="412" t="s">
        <v>80</v>
      </c>
      <c r="C83" s="86"/>
      <c r="D83" s="57"/>
      <c r="E83" s="81"/>
      <c r="F83" s="415"/>
      <c r="G83" s="434"/>
      <c r="H83" s="435"/>
      <c r="I83" s="436">
        <f>SUM(I66:I81)</f>
        <v>34567</v>
      </c>
      <c r="J83" s="55"/>
      <c r="K83" s="61"/>
    </row>
    <row r="84" spans="1:11">
      <c r="A84" s="568"/>
      <c r="B84" s="411" t="s">
        <v>145</v>
      </c>
      <c r="C84" s="55"/>
      <c r="D84" s="55"/>
      <c r="E84" s="519"/>
      <c r="F84" s="519"/>
      <c r="G84" s="519"/>
      <c r="H84" s="519"/>
      <c r="I84" s="519"/>
      <c r="J84" s="55"/>
    </row>
    <row r="85" spans="1:11">
      <c r="A85" s="568"/>
      <c r="B85" s="522" t="s">
        <v>496</v>
      </c>
      <c r="C85" s="55"/>
      <c r="D85" s="55"/>
      <c r="E85" s="519"/>
      <c r="F85" s="519"/>
      <c r="G85" s="519"/>
      <c r="H85" s="519"/>
      <c r="I85" s="519"/>
      <c r="J85" s="55"/>
    </row>
    <row r="86" spans="1:11">
      <c r="A86" s="568"/>
      <c r="B86" s="569" t="s">
        <v>497</v>
      </c>
      <c r="C86" s="55"/>
      <c r="D86" s="55"/>
      <c r="E86" s="519"/>
      <c r="F86" s="519"/>
      <c r="G86" s="519"/>
      <c r="H86" s="519"/>
      <c r="I86" s="519"/>
      <c r="J86" s="55"/>
    </row>
    <row r="87" spans="1:11">
      <c r="A87" s="568"/>
      <c r="B87" s="55" t="s">
        <v>498</v>
      </c>
      <c r="C87" s="190">
        <v>1</v>
      </c>
      <c r="D87" s="190" t="s">
        <v>119</v>
      </c>
      <c r="E87" s="423">
        <v>3415</v>
      </c>
      <c r="F87" s="423">
        <f>SUM(E87*C87)</f>
        <v>3415</v>
      </c>
      <c r="G87" s="207" t="s">
        <v>260</v>
      </c>
      <c r="H87" s="207" t="s">
        <v>260</v>
      </c>
      <c r="I87" s="420">
        <f>SUM(F87)</f>
        <v>3415</v>
      </c>
      <c r="J87" s="55"/>
      <c r="K87" s="448">
        <v>1915</v>
      </c>
    </row>
    <row r="88" spans="1:11">
      <c r="A88" s="568"/>
      <c r="B88" s="569" t="s">
        <v>499</v>
      </c>
      <c r="C88" s="55"/>
      <c r="D88" s="55"/>
      <c r="E88" s="519"/>
      <c r="F88" s="519"/>
      <c r="G88" s="519"/>
      <c r="H88" s="519"/>
      <c r="I88" s="519"/>
      <c r="J88" s="55"/>
    </row>
    <row r="89" spans="1:11">
      <c r="A89" s="568"/>
      <c r="B89" s="55" t="s">
        <v>469</v>
      </c>
      <c r="C89" s="190">
        <v>1</v>
      </c>
      <c r="D89" s="190" t="s">
        <v>119</v>
      </c>
      <c r="E89" s="423">
        <v>22000</v>
      </c>
      <c r="F89" s="423">
        <f>SUM(E89*C89)</f>
        <v>22000</v>
      </c>
      <c r="G89" s="207" t="s">
        <v>260</v>
      </c>
      <c r="H89" s="207" t="s">
        <v>260</v>
      </c>
      <c r="I89" s="420">
        <f>SUM(F89)</f>
        <v>22000</v>
      </c>
      <c r="J89" s="55"/>
    </row>
    <row r="90" spans="1:11">
      <c r="A90" s="568"/>
      <c r="B90" s="569" t="s">
        <v>500</v>
      </c>
      <c r="C90" s="55"/>
      <c r="D90" s="55"/>
      <c r="E90" s="519"/>
      <c r="F90" s="519"/>
      <c r="G90" s="519"/>
      <c r="H90" s="519"/>
      <c r="I90" s="519"/>
      <c r="J90" s="55"/>
    </row>
    <row r="91" spans="1:11">
      <c r="A91" s="568"/>
      <c r="B91" s="55" t="s">
        <v>471</v>
      </c>
      <c r="C91" s="190">
        <v>2</v>
      </c>
      <c r="D91" s="190" t="s">
        <v>119</v>
      </c>
      <c r="E91" s="423">
        <v>4600</v>
      </c>
      <c r="F91" s="423">
        <f>SUM(E91*C91)</f>
        <v>9200</v>
      </c>
      <c r="G91" s="207" t="s">
        <v>260</v>
      </c>
      <c r="H91" s="207" t="s">
        <v>260</v>
      </c>
      <c r="I91" s="420">
        <f>SUM(F91)</f>
        <v>9200</v>
      </c>
      <c r="J91" s="55"/>
    </row>
    <row r="92" spans="1:11">
      <c r="A92" s="568"/>
      <c r="B92" s="522" t="s">
        <v>501</v>
      </c>
      <c r="C92" s="55"/>
      <c r="D92" s="55"/>
      <c r="E92" s="519"/>
      <c r="F92" s="519"/>
      <c r="G92" s="519"/>
      <c r="H92" s="519"/>
      <c r="I92" s="519"/>
      <c r="J92" s="55"/>
    </row>
    <row r="93" spans="1:11">
      <c r="A93" s="568"/>
      <c r="B93" s="55" t="s">
        <v>502</v>
      </c>
      <c r="C93" s="190">
        <v>1</v>
      </c>
      <c r="D93" s="190" t="s">
        <v>119</v>
      </c>
      <c r="E93" s="423">
        <v>7800</v>
      </c>
      <c r="F93" s="423">
        <f t="shared" ref="F93:F98" si="6">SUM(E93*C93)</f>
        <v>7800</v>
      </c>
      <c r="G93" s="423">
        <v>400</v>
      </c>
      <c r="H93" s="423">
        <f>SUM(G93*C93)</f>
        <v>400</v>
      </c>
      <c r="I93" s="420">
        <f>SUM(H93+F93)</f>
        <v>8200</v>
      </c>
      <c r="J93" s="55"/>
    </row>
    <row r="94" spans="1:11">
      <c r="A94" s="568"/>
      <c r="B94" s="55" t="s">
        <v>503</v>
      </c>
      <c r="C94" s="190">
        <v>2</v>
      </c>
      <c r="D94" s="190" t="s">
        <v>119</v>
      </c>
      <c r="E94" s="423">
        <v>1915</v>
      </c>
      <c r="F94" s="423">
        <f t="shared" si="6"/>
        <v>3830</v>
      </c>
      <c r="G94" s="423">
        <v>400</v>
      </c>
      <c r="H94" s="423">
        <f>SUM(G94*C94)</f>
        <v>800</v>
      </c>
      <c r="I94" s="420">
        <f>SUM(H94+F94)</f>
        <v>4630</v>
      </c>
      <c r="J94" s="55"/>
    </row>
    <row r="95" spans="1:11">
      <c r="A95" s="568"/>
      <c r="B95" s="55" t="s">
        <v>504</v>
      </c>
      <c r="C95" s="190">
        <v>1</v>
      </c>
      <c r="D95" s="190" t="s">
        <v>119</v>
      </c>
      <c r="E95" s="423">
        <v>2275</v>
      </c>
      <c r="F95" s="423">
        <f t="shared" si="6"/>
        <v>2275</v>
      </c>
      <c r="G95" s="423">
        <v>400</v>
      </c>
      <c r="H95" s="423">
        <f>SUM(G95*C95)</f>
        <v>400</v>
      </c>
      <c r="I95" s="420">
        <f>SUM(H95+F95)</f>
        <v>2675</v>
      </c>
      <c r="J95" s="55"/>
    </row>
    <row r="96" spans="1:11">
      <c r="A96" s="568"/>
      <c r="B96" s="55" t="s">
        <v>505</v>
      </c>
      <c r="C96" s="190">
        <v>1</v>
      </c>
      <c r="D96" s="190" t="s">
        <v>119</v>
      </c>
      <c r="E96" s="423">
        <v>3035</v>
      </c>
      <c r="F96" s="423">
        <f t="shared" si="6"/>
        <v>3035</v>
      </c>
      <c r="G96" s="423">
        <v>400</v>
      </c>
      <c r="H96" s="423">
        <f>SUM(G96*C96)</f>
        <v>400</v>
      </c>
      <c r="I96" s="420">
        <f>SUM(H96+F96)</f>
        <v>3435</v>
      </c>
      <c r="J96" s="55"/>
    </row>
    <row r="97" spans="1:13">
      <c r="A97" s="568"/>
      <c r="B97" s="55" t="s">
        <v>506</v>
      </c>
      <c r="C97" s="190">
        <v>2</v>
      </c>
      <c r="D97" s="190" t="s">
        <v>449</v>
      </c>
      <c r="E97" s="423">
        <v>107</v>
      </c>
      <c r="F97" s="423">
        <f t="shared" si="6"/>
        <v>214</v>
      </c>
      <c r="G97" s="207" t="s">
        <v>260</v>
      </c>
      <c r="H97" s="207" t="s">
        <v>260</v>
      </c>
      <c r="I97" s="420">
        <f>SUM(F97)</f>
        <v>214</v>
      </c>
      <c r="J97" s="55"/>
    </row>
    <row r="98" spans="1:13">
      <c r="A98" s="568"/>
      <c r="B98" s="55" t="s">
        <v>507</v>
      </c>
      <c r="C98" s="190">
        <v>1</v>
      </c>
      <c r="D98" s="190" t="s">
        <v>19</v>
      </c>
      <c r="E98" s="423">
        <v>1500</v>
      </c>
      <c r="F98" s="423">
        <f t="shared" si="6"/>
        <v>1500</v>
      </c>
      <c r="G98" s="650" t="s">
        <v>508</v>
      </c>
      <c r="H98" s="651"/>
      <c r="I98" s="420">
        <f>SUM(H98+F98)</f>
        <v>1500</v>
      </c>
      <c r="J98" s="55"/>
    </row>
    <row r="99" spans="1:13">
      <c r="A99" s="568"/>
      <c r="B99" s="55"/>
      <c r="C99" s="190"/>
      <c r="D99" s="190"/>
      <c r="E99" s="423"/>
      <c r="F99" s="423"/>
      <c r="G99" s="571"/>
      <c r="H99" s="572"/>
      <c r="I99" s="420"/>
      <c r="J99" s="55"/>
    </row>
    <row r="100" spans="1:13">
      <c r="A100" s="568"/>
      <c r="B100" s="55"/>
      <c r="C100" s="190"/>
      <c r="D100" s="190"/>
      <c r="E100" s="423"/>
      <c r="F100" s="423"/>
      <c r="G100" s="207"/>
      <c r="H100" s="207"/>
      <c r="I100" s="420"/>
      <c r="J100" s="55"/>
    </row>
    <row r="101" spans="1:13">
      <c r="A101" s="568"/>
      <c r="B101" s="57" t="s">
        <v>18</v>
      </c>
      <c r="C101" s="86"/>
      <c r="D101" s="57"/>
      <c r="E101" s="81"/>
      <c r="F101" s="433">
        <f>SUM(F85:F100)</f>
        <v>53269</v>
      </c>
      <c r="G101" s="434"/>
      <c r="H101" s="433">
        <f>SUM(H85:H100)</f>
        <v>2000</v>
      </c>
      <c r="I101" s="416"/>
      <c r="J101" s="55"/>
      <c r="K101" s="461">
        <f>+H101+F101</f>
        <v>55269</v>
      </c>
    </row>
    <row r="102" spans="1:13">
      <c r="A102" s="568"/>
      <c r="B102" s="412" t="s">
        <v>80</v>
      </c>
      <c r="C102" s="86"/>
      <c r="D102" s="57"/>
      <c r="E102" s="81"/>
      <c r="F102" s="415"/>
      <c r="G102" s="434"/>
      <c r="H102" s="435"/>
      <c r="I102" s="436">
        <f>SUM(I85:I100)</f>
        <v>55269</v>
      </c>
      <c r="J102" s="55"/>
      <c r="K102" s="61"/>
    </row>
    <row r="103" spans="1:13">
      <c r="A103" s="568"/>
      <c r="B103" s="411" t="s">
        <v>660</v>
      </c>
      <c r="C103" s="55"/>
      <c r="D103" s="55"/>
      <c r="E103" s="519"/>
      <c r="F103" s="519"/>
      <c r="G103" s="519"/>
      <c r="H103" s="519"/>
      <c r="I103" s="519"/>
      <c r="J103" s="55"/>
    </row>
    <row r="104" spans="1:13">
      <c r="A104" s="568"/>
      <c r="B104" s="467" t="s">
        <v>509</v>
      </c>
      <c r="C104" s="55"/>
      <c r="D104" s="55"/>
      <c r="E104" s="519"/>
      <c r="F104" s="519"/>
      <c r="G104" s="573"/>
      <c r="H104" s="573"/>
      <c r="I104" s="573"/>
      <c r="J104" s="55"/>
      <c r="K104" s="448">
        <v>210000</v>
      </c>
    </row>
    <row r="105" spans="1:13">
      <c r="A105" s="568"/>
      <c r="B105" s="547" t="s">
        <v>510</v>
      </c>
      <c r="C105" s="570">
        <v>2</v>
      </c>
      <c r="D105" s="190" t="s">
        <v>119</v>
      </c>
      <c r="E105" s="541">
        <v>1915</v>
      </c>
      <c r="F105" s="541">
        <f>SUM(E105*C105)</f>
        <v>3830</v>
      </c>
      <c r="G105" s="541">
        <v>400</v>
      </c>
      <c r="H105" s="541">
        <f>SUM(G105*C105)</f>
        <v>800</v>
      </c>
      <c r="I105" s="542">
        <f>SUM(H105+F105)</f>
        <v>4630</v>
      </c>
      <c r="J105" s="55"/>
      <c r="K105" s="461">
        <f>SUM(F108)</f>
        <v>33000</v>
      </c>
    </row>
    <row r="106" spans="1:13">
      <c r="A106" s="568"/>
      <c r="B106" s="55" t="s">
        <v>511</v>
      </c>
      <c r="C106" s="570">
        <v>1</v>
      </c>
      <c r="D106" s="190" t="s">
        <v>119</v>
      </c>
      <c r="E106" s="541">
        <v>2275</v>
      </c>
      <c r="F106" s="541">
        <f>SUM(E106*C106)</f>
        <v>2275</v>
      </c>
      <c r="G106" s="541">
        <v>400</v>
      </c>
      <c r="H106" s="541">
        <f>SUM(G106*C106)</f>
        <v>400</v>
      </c>
      <c r="I106" s="542">
        <f>SUM(H106+F106)</f>
        <v>2675</v>
      </c>
      <c r="J106" s="55"/>
      <c r="K106" s="461">
        <f>SUM(F111)</f>
        <v>45660</v>
      </c>
    </row>
    <row r="107" spans="1:13">
      <c r="A107" s="568"/>
      <c r="B107" s="548" t="s">
        <v>512</v>
      </c>
      <c r="C107" s="547"/>
      <c r="D107" s="547"/>
      <c r="E107" s="573"/>
      <c r="F107" s="573"/>
      <c r="G107" s="573"/>
      <c r="H107" s="573"/>
      <c r="I107" s="574"/>
      <c r="J107" s="55"/>
      <c r="K107" s="461">
        <f>SUM(F113:F115)</f>
        <v>32528</v>
      </c>
    </row>
    <row r="108" spans="1:13">
      <c r="A108" s="568"/>
      <c r="B108" s="575" t="s">
        <v>513</v>
      </c>
      <c r="C108" s="576">
        <v>2</v>
      </c>
      <c r="D108" s="576" t="s">
        <v>514</v>
      </c>
      <c r="E108" s="541">
        <v>16500</v>
      </c>
      <c r="F108" s="541">
        <f>SUM(E108*C108)</f>
        <v>33000</v>
      </c>
      <c r="G108" s="207" t="s">
        <v>260</v>
      </c>
      <c r="H108" s="207" t="s">
        <v>260</v>
      </c>
      <c r="I108" s="420">
        <f>SUM(F108)</f>
        <v>33000</v>
      </c>
      <c r="J108" s="55"/>
      <c r="K108" s="461">
        <f>SUM(K105:K107)</f>
        <v>111188</v>
      </c>
      <c r="L108" s="577">
        <v>98812</v>
      </c>
    </row>
    <row r="109" spans="1:13">
      <c r="A109" s="568"/>
      <c r="B109" s="575" t="s">
        <v>515</v>
      </c>
      <c r="C109" s="190"/>
      <c r="D109" s="190"/>
      <c r="E109" s="423"/>
      <c r="F109" s="423"/>
      <c r="G109" s="423"/>
      <c r="H109" s="423"/>
      <c r="I109" s="420"/>
      <c r="J109" s="55"/>
      <c r="K109" s="461"/>
    </row>
    <row r="110" spans="1:13">
      <c r="A110" s="568"/>
      <c r="B110" s="547" t="s">
        <v>516</v>
      </c>
      <c r="C110" s="578">
        <v>2</v>
      </c>
      <c r="D110" s="576" t="s">
        <v>119</v>
      </c>
      <c r="E110" s="541">
        <v>1915</v>
      </c>
      <c r="F110" s="541">
        <f t="shared" ref="F110:F116" si="7">SUM(E110*C110)</f>
        <v>3830</v>
      </c>
      <c r="G110" s="541">
        <v>400</v>
      </c>
      <c r="H110" s="541">
        <f>SUM(G110*C110)</f>
        <v>800</v>
      </c>
      <c r="I110" s="542">
        <f>SUM(H110+F110)</f>
        <v>4630</v>
      </c>
      <c r="J110" s="55"/>
      <c r="K110" s="461"/>
    </row>
    <row r="111" spans="1:13">
      <c r="A111" s="568"/>
      <c r="B111" s="547" t="s">
        <v>517</v>
      </c>
      <c r="C111" s="578">
        <v>5</v>
      </c>
      <c r="D111" s="576" t="s">
        <v>119</v>
      </c>
      <c r="E111" s="541">
        <v>9132</v>
      </c>
      <c r="F111" s="541">
        <f t="shared" si="7"/>
        <v>45660</v>
      </c>
      <c r="G111" s="207" t="s">
        <v>260</v>
      </c>
      <c r="H111" s="207" t="s">
        <v>260</v>
      </c>
      <c r="I111" s="420">
        <f>SUM(F111)</f>
        <v>45660</v>
      </c>
      <c r="J111" s="55"/>
      <c r="K111" s="461">
        <v>11415</v>
      </c>
      <c r="L111" s="579">
        <v>0.2</v>
      </c>
      <c r="M111" s="10">
        <v>2283</v>
      </c>
    </row>
    <row r="112" spans="1:13">
      <c r="A112" s="568"/>
      <c r="B112" s="547" t="s">
        <v>511</v>
      </c>
      <c r="C112" s="578">
        <v>1</v>
      </c>
      <c r="D112" s="576" t="s">
        <v>119</v>
      </c>
      <c r="E112" s="541">
        <v>2275</v>
      </c>
      <c r="F112" s="541">
        <f t="shared" si="7"/>
        <v>2275</v>
      </c>
      <c r="G112" s="541">
        <v>400</v>
      </c>
      <c r="H112" s="541">
        <f>SUM(G112*C112)</f>
        <v>400</v>
      </c>
      <c r="I112" s="542">
        <f>SUM(H112+F112)</f>
        <v>2675</v>
      </c>
      <c r="J112" s="55"/>
    </row>
    <row r="113" spans="1:13">
      <c r="A113" s="568"/>
      <c r="B113" s="547" t="s">
        <v>518</v>
      </c>
      <c r="C113" s="578">
        <v>3</v>
      </c>
      <c r="D113" s="576" t="s">
        <v>119</v>
      </c>
      <c r="E113" s="541">
        <v>5200</v>
      </c>
      <c r="F113" s="541">
        <f t="shared" si="7"/>
        <v>15600</v>
      </c>
      <c r="G113" s="541">
        <v>600</v>
      </c>
      <c r="H113" s="541">
        <f>SUM(G113*C113)</f>
        <v>1800</v>
      </c>
      <c r="I113" s="542">
        <f>SUM(H113+F113)</f>
        <v>17400</v>
      </c>
      <c r="J113" s="55"/>
    </row>
    <row r="114" spans="1:13">
      <c r="A114" s="568"/>
      <c r="B114" s="55" t="s">
        <v>519</v>
      </c>
      <c r="C114" s="190">
        <v>1</v>
      </c>
      <c r="D114" s="190" t="s">
        <v>119</v>
      </c>
      <c r="E114" s="423">
        <v>8448</v>
      </c>
      <c r="F114" s="423">
        <f t="shared" si="7"/>
        <v>8448</v>
      </c>
      <c r="G114" s="423">
        <v>600</v>
      </c>
      <c r="H114" s="423">
        <f>SUM(G114*C114)</f>
        <v>600</v>
      </c>
      <c r="I114" s="420">
        <f>SUM(H114+F114)</f>
        <v>9048</v>
      </c>
      <c r="J114" s="55"/>
      <c r="K114" s="448">
        <v>10560</v>
      </c>
      <c r="L114" s="579">
        <v>0.2</v>
      </c>
      <c r="M114" s="10">
        <v>2112</v>
      </c>
    </row>
    <row r="115" spans="1:13">
      <c r="A115" s="568"/>
      <c r="B115" s="547" t="s">
        <v>520</v>
      </c>
      <c r="C115" s="578">
        <v>4</v>
      </c>
      <c r="D115" s="576" t="s">
        <v>119</v>
      </c>
      <c r="E115" s="541">
        <v>2120</v>
      </c>
      <c r="F115" s="541">
        <f t="shared" si="7"/>
        <v>8480</v>
      </c>
      <c r="G115" s="541">
        <v>600</v>
      </c>
      <c r="H115" s="541">
        <f>SUM(G115*C115)</f>
        <v>2400</v>
      </c>
      <c r="I115" s="542">
        <f>SUM(H115+F115)</f>
        <v>10880</v>
      </c>
      <c r="J115" s="55"/>
    </row>
    <row r="116" spans="1:13">
      <c r="A116" s="568"/>
      <c r="B116" s="547" t="s">
        <v>521</v>
      </c>
      <c r="C116" s="578">
        <v>2</v>
      </c>
      <c r="D116" s="576" t="s">
        <v>119</v>
      </c>
      <c r="E116" s="541">
        <v>1023</v>
      </c>
      <c r="F116" s="541">
        <f t="shared" si="7"/>
        <v>2046</v>
      </c>
      <c r="G116" s="207" t="s">
        <v>260</v>
      </c>
      <c r="H116" s="207" t="s">
        <v>260</v>
      </c>
      <c r="I116" s="420">
        <f>SUM(F116)</f>
        <v>2046</v>
      </c>
      <c r="J116" s="55"/>
      <c r="K116" s="10" t="s">
        <v>522</v>
      </c>
    </row>
    <row r="117" spans="1:13">
      <c r="A117" s="568"/>
      <c r="B117" s="547" t="s">
        <v>523</v>
      </c>
      <c r="C117" s="578"/>
      <c r="D117" s="576"/>
      <c r="E117" s="541"/>
      <c r="F117" s="541"/>
      <c r="G117" s="541"/>
      <c r="H117" s="541"/>
      <c r="I117" s="542"/>
      <c r="J117" s="55"/>
    </row>
    <row r="118" spans="1:13">
      <c r="A118" s="568"/>
      <c r="B118" s="547"/>
      <c r="C118" s="578"/>
      <c r="D118" s="576"/>
      <c r="E118" s="541"/>
      <c r="F118" s="541"/>
      <c r="G118" s="541"/>
      <c r="H118" s="541"/>
      <c r="I118" s="542"/>
      <c r="J118" s="55"/>
    </row>
    <row r="119" spans="1:13">
      <c r="A119" s="568"/>
      <c r="B119" s="55"/>
      <c r="C119" s="55"/>
      <c r="D119" s="55"/>
      <c r="E119" s="519"/>
      <c r="F119" s="519"/>
      <c r="G119" s="519"/>
      <c r="H119" s="519"/>
      <c r="I119" s="519"/>
      <c r="J119" s="55"/>
    </row>
    <row r="120" spans="1:13">
      <c r="A120" s="568"/>
      <c r="B120" s="57" t="s">
        <v>18</v>
      </c>
      <c r="C120" s="86"/>
      <c r="D120" s="57"/>
      <c r="E120" s="81"/>
      <c r="F120" s="433">
        <f>SUM(F104:F119)</f>
        <v>125444</v>
      </c>
      <c r="G120" s="434"/>
      <c r="H120" s="433">
        <f>SUM(H104:H119)</f>
        <v>7200</v>
      </c>
      <c r="I120" s="416"/>
      <c r="J120" s="55"/>
      <c r="K120" s="461">
        <f>+H120+F120</f>
        <v>132644</v>
      </c>
    </row>
    <row r="121" spans="1:13">
      <c r="A121" s="568"/>
      <c r="B121" s="412" t="s">
        <v>80</v>
      </c>
      <c r="C121" s="86"/>
      <c r="D121" s="57"/>
      <c r="E121" s="81"/>
      <c r="F121" s="415"/>
      <c r="G121" s="434"/>
      <c r="H121" s="435"/>
      <c r="I121" s="436">
        <f>SUM(I104:I119)</f>
        <v>132644</v>
      </c>
      <c r="J121" s="55"/>
      <c r="K121" s="61"/>
    </row>
    <row r="122" spans="1:13">
      <c r="A122" s="568"/>
      <c r="B122" s="411" t="s">
        <v>660</v>
      </c>
      <c r="C122" s="55"/>
      <c r="D122" s="55"/>
      <c r="E122" s="519"/>
      <c r="F122" s="519"/>
      <c r="G122" s="519"/>
      <c r="H122" s="519"/>
      <c r="I122" s="519"/>
      <c r="J122" s="55"/>
    </row>
    <row r="123" spans="1:13">
      <c r="A123" s="568"/>
      <c r="B123" s="548" t="s">
        <v>524</v>
      </c>
      <c r="C123" s="55"/>
      <c r="D123" s="55"/>
      <c r="E123" s="519"/>
      <c r="F123" s="519"/>
      <c r="G123" s="519"/>
      <c r="H123" s="519"/>
      <c r="I123" s="420"/>
      <c r="J123" s="55"/>
    </row>
    <row r="124" spans="1:13">
      <c r="A124" s="568"/>
      <c r="B124" s="55" t="s">
        <v>525</v>
      </c>
      <c r="C124" s="578">
        <v>1</v>
      </c>
      <c r="D124" s="576" t="s">
        <v>19</v>
      </c>
      <c r="E124" s="541">
        <v>2750</v>
      </c>
      <c r="F124" s="541">
        <f>SUM(E124*C124)</f>
        <v>2750</v>
      </c>
      <c r="G124" s="652" t="s">
        <v>508</v>
      </c>
      <c r="H124" s="653"/>
      <c r="I124" s="542">
        <f>SUM(H124+F124)</f>
        <v>2750</v>
      </c>
      <c r="J124" s="55"/>
    </row>
    <row r="125" spans="1:13">
      <c r="A125" s="190"/>
      <c r="B125" s="55" t="s">
        <v>526</v>
      </c>
      <c r="C125" s="55"/>
      <c r="D125" s="55"/>
      <c r="E125" s="519"/>
      <c r="F125" s="519"/>
      <c r="G125" s="519"/>
      <c r="H125" s="519"/>
      <c r="I125" s="519"/>
      <c r="J125" s="55"/>
      <c r="K125" s="461">
        <f>SUM(F36:F40)</f>
        <v>60325</v>
      </c>
      <c r="L125" s="8">
        <f>SUM(K125*30%)</f>
        <v>18097.5</v>
      </c>
      <c r="M125" s="10">
        <f>SUM(L125*30%)</f>
        <v>5429.25</v>
      </c>
    </row>
    <row r="126" spans="1:13">
      <c r="A126" s="568"/>
      <c r="B126" s="547" t="s">
        <v>527</v>
      </c>
      <c r="C126" s="578">
        <v>1</v>
      </c>
      <c r="D126" s="576" t="s">
        <v>19</v>
      </c>
      <c r="E126" s="541">
        <v>2000</v>
      </c>
      <c r="F126" s="541">
        <f>SUM(E126*C126)</f>
        <v>2000</v>
      </c>
      <c r="G126" s="652" t="s">
        <v>508</v>
      </c>
      <c r="H126" s="653"/>
      <c r="I126" s="542">
        <f>SUM(H126+F126)</f>
        <v>2000</v>
      </c>
      <c r="J126" s="55"/>
      <c r="K126" s="461">
        <f>SUM(F67:F68)</f>
        <v>8124</v>
      </c>
    </row>
    <row r="127" spans="1:13">
      <c r="A127" s="568"/>
      <c r="B127" s="55" t="s">
        <v>528</v>
      </c>
      <c r="C127" s="576">
        <v>1</v>
      </c>
      <c r="D127" s="576" t="s">
        <v>19</v>
      </c>
      <c r="E127" s="541">
        <v>21500</v>
      </c>
      <c r="F127" s="541">
        <f>SUM(E127*C127)</f>
        <v>21500</v>
      </c>
      <c r="G127" s="650" t="s">
        <v>508</v>
      </c>
      <c r="H127" s="651"/>
      <c r="I127" s="420">
        <f>SUM(H127+F127)</f>
        <v>21500</v>
      </c>
      <c r="J127" s="55"/>
      <c r="K127" s="461">
        <f>SUM(F10:F11)</f>
        <v>9501</v>
      </c>
    </row>
    <row r="128" spans="1:13">
      <c r="A128" s="568"/>
      <c r="B128" s="487" t="s">
        <v>529</v>
      </c>
      <c r="C128" s="576">
        <v>1</v>
      </c>
      <c r="D128" s="576" t="s">
        <v>19</v>
      </c>
      <c r="E128" s="423">
        <v>18098</v>
      </c>
      <c r="F128" s="423">
        <f>SUM(E128*C128)</f>
        <v>18098</v>
      </c>
      <c r="G128" s="423">
        <v>5429</v>
      </c>
      <c r="H128" s="423">
        <f>SUM(G128*C128)</f>
        <v>5429</v>
      </c>
      <c r="I128" s="420">
        <f>SUM(H128+F128)</f>
        <v>23527</v>
      </c>
      <c r="J128" s="55"/>
      <c r="K128" s="461">
        <f>SUM(K125:K127)</f>
        <v>77950</v>
      </c>
    </row>
    <row r="129" spans="1:12">
      <c r="A129" s="568"/>
      <c r="B129" s="55" t="s">
        <v>530</v>
      </c>
      <c r="C129" s="580">
        <v>104</v>
      </c>
      <c r="D129" s="190" t="s">
        <v>250</v>
      </c>
      <c r="E129" s="207" t="s">
        <v>260</v>
      </c>
      <c r="F129" s="207" t="s">
        <v>260</v>
      </c>
      <c r="G129" s="423">
        <v>99</v>
      </c>
      <c r="H129" s="423">
        <f>SUM(G129*C129)</f>
        <v>10296</v>
      </c>
      <c r="I129" s="420">
        <f>SUM(H129)</f>
        <v>10296</v>
      </c>
      <c r="J129" s="55"/>
      <c r="K129" s="10">
        <f>SUM(K128*30%)</f>
        <v>23385</v>
      </c>
      <c r="L129" s="8">
        <f>SUM(K129*30%)</f>
        <v>7015.5</v>
      </c>
    </row>
    <row r="130" spans="1:12">
      <c r="A130" s="568"/>
      <c r="B130" s="55" t="s">
        <v>531</v>
      </c>
      <c r="C130" s="580">
        <v>38</v>
      </c>
      <c r="D130" s="190" t="s">
        <v>250</v>
      </c>
      <c r="E130" s="423">
        <v>537</v>
      </c>
      <c r="F130" s="423">
        <f>SUM(E130*C130)</f>
        <v>20406</v>
      </c>
      <c r="G130" s="423">
        <v>91</v>
      </c>
      <c r="H130" s="423">
        <f>SUM(G130*C130)</f>
        <v>3458</v>
      </c>
      <c r="I130" s="420">
        <f>SUM(H130+F130)</f>
        <v>23864</v>
      </c>
      <c r="J130" s="55"/>
    </row>
    <row r="131" spans="1:12">
      <c r="A131" s="568"/>
      <c r="B131" s="581" t="s">
        <v>532</v>
      </c>
      <c r="C131" s="55"/>
      <c r="D131" s="55"/>
      <c r="E131" s="519"/>
      <c r="F131" s="519"/>
      <c r="G131" s="519"/>
      <c r="H131" s="519"/>
      <c r="I131" s="519"/>
      <c r="J131" s="55"/>
    </row>
    <row r="132" spans="1:12">
      <c r="A132" s="568"/>
      <c r="B132" s="582" t="s">
        <v>533</v>
      </c>
      <c r="C132" s="190">
        <v>2</v>
      </c>
      <c r="D132" s="190" t="s">
        <v>514</v>
      </c>
      <c r="E132" s="423">
        <v>2000</v>
      </c>
      <c r="F132" s="423">
        <f>SUM(E132*C132)</f>
        <v>4000</v>
      </c>
      <c r="G132" s="423">
        <v>200</v>
      </c>
      <c r="H132" s="423">
        <f>SUM(G132*C132)</f>
        <v>400</v>
      </c>
      <c r="I132" s="420">
        <f>SUM(H132+F132)</f>
        <v>4400</v>
      </c>
      <c r="J132" s="55"/>
      <c r="K132" s="10">
        <v>2000</v>
      </c>
    </row>
    <row r="133" spans="1:12">
      <c r="A133" s="568"/>
      <c r="B133" s="55" t="s">
        <v>534</v>
      </c>
      <c r="C133" s="55"/>
      <c r="D133" s="55"/>
      <c r="E133" s="519"/>
      <c r="F133" s="519"/>
      <c r="G133" s="519"/>
      <c r="H133" s="519"/>
      <c r="I133" s="519"/>
      <c r="J133" s="55"/>
    </row>
    <row r="134" spans="1:12">
      <c r="A134" s="568"/>
      <c r="B134" s="55" t="s">
        <v>535</v>
      </c>
      <c r="C134" s="55"/>
      <c r="D134" s="55"/>
      <c r="E134" s="519"/>
      <c r="F134" s="519"/>
      <c r="G134" s="519"/>
      <c r="H134" s="519"/>
      <c r="I134" s="519"/>
      <c r="J134" s="55"/>
    </row>
    <row r="135" spans="1:12">
      <c r="A135" s="568"/>
      <c r="B135" s="55" t="s">
        <v>536</v>
      </c>
      <c r="C135" s="190">
        <v>2</v>
      </c>
      <c r="D135" s="190" t="s">
        <v>514</v>
      </c>
      <c r="E135" s="423">
        <v>12480</v>
      </c>
      <c r="F135" s="423">
        <f>SUM(E135*C135)</f>
        <v>24960</v>
      </c>
      <c r="G135" s="423">
        <v>200</v>
      </c>
      <c r="H135" s="423">
        <f>SUM(G135*C135)</f>
        <v>400</v>
      </c>
      <c r="I135" s="420">
        <f>SUM(H135+F135)</f>
        <v>25360</v>
      </c>
      <c r="J135" s="55"/>
      <c r="K135" s="10">
        <v>15600</v>
      </c>
      <c r="L135" s="579">
        <v>0.2</v>
      </c>
    </row>
    <row r="136" spans="1:12">
      <c r="A136" s="568"/>
      <c r="B136" s="55" t="s">
        <v>534</v>
      </c>
      <c r="C136" s="55"/>
      <c r="D136" s="55"/>
      <c r="E136" s="519"/>
      <c r="F136" s="519"/>
      <c r="G136" s="519"/>
      <c r="H136" s="519"/>
      <c r="I136" s="519"/>
      <c r="J136" s="55"/>
    </row>
    <row r="137" spans="1:12">
      <c r="A137" s="568"/>
      <c r="B137" s="55" t="s">
        <v>537</v>
      </c>
      <c r="C137" s="55"/>
      <c r="D137" s="55"/>
      <c r="E137" s="519"/>
      <c r="F137" s="519"/>
      <c r="G137" s="519"/>
      <c r="H137" s="519"/>
      <c r="I137" s="519"/>
      <c r="J137" s="55"/>
    </row>
    <row r="138" spans="1:12">
      <c r="A138" s="568"/>
      <c r="B138" s="55"/>
      <c r="C138" s="55"/>
      <c r="D138" s="55"/>
      <c r="E138" s="519"/>
      <c r="F138" s="519"/>
      <c r="G138" s="583"/>
      <c r="H138" s="519"/>
      <c r="I138" s="420"/>
      <c r="J138" s="55"/>
    </row>
    <row r="139" spans="1:12">
      <c r="A139" s="568"/>
      <c r="B139" s="57" t="s">
        <v>18</v>
      </c>
      <c r="C139" s="86"/>
      <c r="D139" s="57"/>
      <c r="E139" s="81"/>
      <c r="F139" s="433">
        <f>SUM(F124:F137)</f>
        <v>93714</v>
      </c>
      <c r="G139" s="434"/>
      <c r="H139" s="433">
        <f>SUM(H124:H137)</f>
        <v>19983</v>
      </c>
      <c r="I139" s="416"/>
      <c r="J139" s="55"/>
      <c r="K139" s="461">
        <f>+H139+F139</f>
        <v>113697</v>
      </c>
    </row>
    <row r="140" spans="1:12">
      <c r="A140" s="568"/>
      <c r="B140" s="412" t="s">
        <v>80</v>
      </c>
      <c r="C140" s="86"/>
      <c r="D140" s="57"/>
      <c r="E140" s="81"/>
      <c r="F140" s="415"/>
      <c r="G140" s="434"/>
      <c r="H140" s="435"/>
      <c r="I140" s="436">
        <f>SUM(I124:I137)</f>
        <v>113697</v>
      </c>
      <c r="J140" s="55"/>
      <c r="K140" s="61"/>
    </row>
    <row r="141" spans="1:12">
      <c r="A141" s="568"/>
      <c r="B141" s="411" t="s">
        <v>661</v>
      </c>
      <c r="C141" s="55"/>
      <c r="D141" s="55"/>
      <c r="E141" s="519"/>
      <c r="F141" s="519"/>
      <c r="G141" s="519"/>
      <c r="H141" s="519"/>
      <c r="I141" s="519"/>
      <c r="J141" s="55"/>
    </row>
    <row r="142" spans="1:12">
      <c r="A142" s="568"/>
      <c r="B142" s="522" t="s">
        <v>538</v>
      </c>
      <c r="C142" s="55"/>
      <c r="D142" s="55"/>
      <c r="E142" s="519"/>
      <c r="F142" s="519"/>
      <c r="G142" s="519"/>
      <c r="H142" s="519"/>
      <c r="I142" s="519"/>
      <c r="J142" s="55"/>
    </row>
    <row r="143" spans="1:12">
      <c r="A143" s="568"/>
      <c r="B143" s="522" t="s">
        <v>539</v>
      </c>
      <c r="C143" s="55"/>
      <c r="D143" s="55"/>
      <c r="E143" s="519"/>
      <c r="F143" s="519"/>
      <c r="G143" s="519"/>
      <c r="H143" s="519"/>
      <c r="I143" s="519"/>
      <c r="J143" s="55"/>
    </row>
    <row r="144" spans="1:12">
      <c r="A144" s="568"/>
      <c r="B144" s="55" t="s">
        <v>469</v>
      </c>
      <c r="C144" s="190">
        <v>13</v>
      </c>
      <c r="D144" s="190" t="s">
        <v>180</v>
      </c>
      <c r="E144" s="423">
        <v>38</v>
      </c>
      <c r="F144" s="423">
        <f>SUM(E144*C144)</f>
        <v>494</v>
      </c>
      <c r="G144" s="423">
        <v>40</v>
      </c>
      <c r="H144" s="423">
        <f>SUM(G144*C144)</f>
        <v>520</v>
      </c>
      <c r="I144" s="420">
        <f>SUM(H144+F144)</f>
        <v>1014</v>
      </c>
      <c r="J144" s="55"/>
    </row>
    <row r="145" spans="1:11">
      <c r="A145" s="568"/>
      <c r="B145" s="55" t="s">
        <v>540</v>
      </c>
      <c r="C145" s="190">
        <v>190</v>
      </c>
      <c r="D145" s="190" t="s">
        <v>180</v>
      </c>
      <c r="E145" s="423">
        <v>136</v>
      </c>
      <c r="F145" s="423">
        <f>SUM(E145*C145)</f>
        <v>25840</v>
      </c>
      <c r="G145" s="423">
        <v>100</v>
      </c>
      <c r="H145" s="423">
        <f>SUM(G145*C145)</f>
        <v>19000</v>
      </c>
      <c r="I145" s="420">
        <f>SUM(H145+F145)</f>
        <v>44840</v>
      </c>
      <c r="J145" s="55"/>
      <c r="K145" s="461">
        <f>SUM(F144:F145)</f>
        <v>26334</v>
      </c>
    </row>
    <row r="146" spans="1:11">
      <c r="A146" s="568"/>
      <c r="B146" s="522" t="s">
        <v>541</v>
      </c>
      <c r="C146" s="55"/>
      <c r="D146" s="55"/>
      <c r="E146" s="519"/>
      <c r="F146" s="519"/>
      <c r="G146" s="519"/>
      <c r="H146" s="519"/>
      <c r="I146" s="519"/>
      <c r="J146" s="55"/>
    </row>
    <row r="147" spans="1:11">
      <c r="A147" s="568"/>
      <c r="B147" s="55" t="s">
        <v>542</v>
      </c>
      <c r="C147" s="190">
        <v>41</v>
      </c>
      <c r="D147" s="190" t="s">
        <v>449</v>
      </c>
      <c r="E147" s="423">
        <v>71</v>
      </c>
      <c r="F147" s="423">
        <f t="shared" ref="F147:F152" si="8">SUM(C147*E147)</f>
        <v>2911</v>
      </c>
      <c r="G147" s="207" t="s">
        <v>260</v>
      </c>
      <c r="H147" s="207" t="s">
        <v>260</v>
      </c>
      <c r="I147" s="420">
        <f t="shared" ref="I147:I152" si="9">SUM(F147)</f>
        <v>2911</v>
      </c>
      <c r="J147" s="55"/>
    </row>
    <row r="148" spans="1:11">
      <c r="A148" s="568"/>
      <c r="B148" s="55" t="s">
        <v>543</v>
      </c>
      <c r="C148" s="190">
        <v>18</v>
      </c>
      <c r="D148" s="190" t="s">
        <v>449</v>
      </c>
      <c r="E148" s="423">
        <v>71</v>
      </c>
      <c r="F148" s="423">
        <f t="shared" si="8"/>
        <v>1278</v>
      </c>
      <c r="G148" s="207" t="s">
        <v>260</v>
      </c>
      <c r="H148" s="207" t="s">
        <v>260</v>
      </c>
      <c r="I148" s="420">
        <f t="shared" si="9"/>
        <v>1278</v>
      </c>
      <c r="J148" s="55"/>
    </row>
    <row r="149" spans="1:11">
      <c r="A149" s="568"/>
      <c r="B149" s="55" t="s">
        <v>544</v>
      </c>
      <c r="C149" s="190">
        <v>12</v>
      </c>
      <c r="D149" s="190" t="s">
        <v>449</v>
      </c>
      <c r="E149" s="423">
        <v>40</v>
      </c>
      <c r="F149" s="423">
        <f t="shared" si="8"/>
        <v>480</v>
      </c>
      <c r="G149" s="207" t="s">
        <v>260</v>
      </c>
      <c r="H149" s="207" t="s">
        <v>260</v>
      </c>
      <c r="I149" s="420">
        <f t="shared" si="9"/>
        <v>480</v>
      </c>
      <c r="J149" s="55"/>
    </row>
    <row r="150" spans="1:11">
      <c r="A150" s="568"/>
      <c r="B150" s="55" t="s">
        <v>545</v>
      </c>
      <c r="C150" s="190">
        <v>17</v>
      </c>
      <c r="D150" s="190" t="s">
        <v>449</v>
      </c>
      <c r="E150" s="423">
        <v>161</v>
      </c>
      <c r="F150" s="423">
        <f t="shared" si="8"/>
        <v>2737</v>
      </c>
      <c r="G150" s="207" t="s">
        <v>260</v>
      </c>
      <c r="H150" s="207" t="s">
        <v>260</v>
      </c>
      <c r="I150" s="420">
        <f t="shared" si="9"/>
        <v>2737</v>
      </c>
      <c r="J150" s="55"/>
    </row>
    <row r="151" spans="1:11">
      <c r="A151" s="568"/>
      <c r="B151" s="55" t="s">
        <v>546</v>
      </c>
      <c r="C151" s="190">
        <v>23</v>
      </c>
      <c r="D151" s="190" t="s">
        <v>449</v>
      </c>
      <c r="E151" s="423">
        <v>175</v>
      </c>
      <c r="F151" s="423">
        <f t="shared" si="8"/>
        <v>4025</v>
      </c>
      <c r="G151" s="207" t="s">
        <v>260</v>
      </c>
      <c r="H151" s="207" t="s">
        <v>260</v>
      </c>
      <c r="I151" s="420">
        <f t="shared" si="9"/>
        <v>4025</v>
      </c>
      <c r="J151" s="55"/>
    </row>
    <row r="152" spans="1:11">
      <c r="A152" s="568"/>
      <c r="B152" s="55" t="s">
        <v>547</v>
      </c>
      <c r="C152" s="190">
        <v>23</v>
      </c>
      <c r="D152" s="190" t="s">
        <v>449</v>
      </c>
      <c r="E152" s="423">
        <v>124</v>
      </c>
      <c r="F152" s="423">
        <f t="shared" si="8"/>
        <v>2852</v>
      </c>
      <c r="G152" s="207" t="s">
        <v>260</v>
      </c>
      <c r="H152" s="207" t="s">
        <v>260</v>
      </c>
      <c r="I152" s="420">
        <f t="shared" si="9"/>
        <v>2852</v>
      </c>
      <c r="J152" s="55"/>
    </row>
    <row r="153" spans="1:11">
      <c r="A153" s="568"/>
      <c r="B153" s="467" t="s">
        <v>548</v>
      </c>
      <c r="C153" s="55"/>
      <c r="D153" s="55"/>
      <c r="E153" s="519"/>
      <c r="F153" s="519"/>
      <c r="G153" s="519"/>
      <c r="H153" s="519"/>
      <c r="I153" s="519"/>
      <c r="J153" s="55"/>
    </row>
    <row r="154" spans="1:11">
      <c r="A154" s="568"/>
      <c r="B154" s="467" t="s">
        <v>549</v>
      </c>
      <c r="C154" s="55"/>
      <c r="D154" s="55"/>
      <c r="E154" s="519"/>
      <c r="F154" s="519"/>
      <c r="G154" s="519"/>
      <c r="H154" s="519"/>
      <c r="I154" s="519"/>
      <c r="J154" s="55"/>
    </row>
    <row r="155" spans="1:11">
      <c r="A155" s="568"/>
      <c r="B155" s="55" t="s">
        <v>540</v>
      </c>
      <c r="C155" s="190">
        <v>6</v>
      </c>
      <c r="D155" s="190" t="s">
        <v>449</v>
      </c>
      <c r="E155" s="423">
        <v>540</v>
      </c>
      <c r="F155" s="423">
        <f>SUM(C155*E155)</f>
        <v>3240</v>
      </c>
      <c r="G155" s="207" t="s">
        <v>260</v>
      </c>
      <c r="H155" s="207" t="s">
        <v>260</v>
      </c>
      <c r="I155" s="420">
        <f>SUM(F155)</f>
        <v>3240</v>
      </c>
      <c r="J155" s="55"/>
    </row>
    <row r="156" spans="1:11">
      <c r="A156" s="568"/>
      <c r="B156" s="55"/>
      <c r="C156" s="190"/>
      <c r="D156" s="190"/>
      <c r="E156" s="423"/>
      <c r="F156" s="423"/>
      <c r="G156" s="207"/>
      <c r="H156" s="207"/>
      <c r="I156" s="420"/>
      <c r="J156" s="55"/>
    </row>
    <row r="157" spans="1:11">
      <c r="A157" s="568"/>
      <c r="B157" s="55"/>
      <c r="C157" s="55"/>
      <c r="D157" s="55"/>
      <c r="E157" s="519"/>
      <c r="F157" s="519"/>
      <c r="G157" s="519"/>
      <c r="H157" s="519"/>
      <c r="I157" s="519"/>
      <c r="J157" s="55"/>
    </row>
    <row r="158" spans="1:11">
      <c r="A158" s="568"/>
      <c r="B158" s="57" t="s">
        <v>18</v>
      </c>
      <c r="C158" s="86"/>
      <c r="D158" s="57"/>
      <c r="E158" s="81"/>
      <c r="F158" s="433">
        <f>SUM(F143:F157)</f>
        <v>43857</v>
      </c>
      <c r="G158" s="434"/>
      <c r="H158" s="433">
        <f>SUM(H143:H157)</f>
        <v>19520</v>
      </c>
      <c r="I158" s="416"/>
      <c r="J158" s="55"/>
      <c r="K158" s="461">
        <f>+H158+F158</f>
        <v>63377</v>
      </c>
    </row>
    <row r="159" spans="1:11">
      <c r="A159" s="568"/>
      <c r="B159" s="412" t="s">
        <v>80</v>
      </c>
      <c r="C159" s="86"/>
      <c r="D159" s="57"/>
      <c r="E159" s="81"/>
      <c r="F159" s="415"/>
      <c r="G159" s="434"/>
      <c r="H159" s="435"/>
      <c r="I159" s="436">
        <f>SUM(I143:I157)</f>
        <v>63377</v>
      </c>
      <c r="J159" s="55"/>
      <c r="K159" s="61"/>
    </row>
    <row r="160" spans="1:11">
      <c r="A160" s="568"/>
      <c r="B160" s="411" t="s">
        <v>662</v>
      </c>
      <c r="C160" s="55"/>
      <c r="D160" s="55"/>
      <c r="E160" s="519"/>
      <c r="F160" s="519"/>
      <c r="G160" s="519"/>
      <c r="H160" s="519"/>
      <c r="I160" s="519"/>
      <c r="J160" s="55"/>
    </row>
    <row r="161" spans="1:12">
      <c r="A161" s="568"/>
      <c r="B161" s="522" t="s">
        <v>550</v>
      </c>
      <c r="C161" s="55"/>
      <c r="D161" s="55"/>
      <c r="E161" s="519"/>
      <c r="F161" s="519"/>
      <c r="G161" s="519"/>
      <c r="H161" s="519"/>
      <c r="I161" s="519"/>
      <c r="J161" s="55"/>
    </row>
    <row r="162" spans="1:12">
      <c r="A162" s="568"/>
      <c r="B162" s="467" t="s">
        <v>548</v>
      </c>
      <c r="C162" s="55"/>
      <c r="D162" s="55"/>
      <c r="E162" s="519"/>
      <c r="F162" s="519"/>
      <c r="G162" s="519"/>
      <c r="H162" s="519"/>
      <c r="I162" s="519"/>
      <c r="J162" s="55"/>
    </row>
    <row r="163" spans="1:12">
      <c r="A163" s="568"/>
      <c r="B163" s="467" t="s">
        <v>551</v>
      </c>
      <c r="C163" s="55"/>
      <c r="D163" s="55"/>
      <c r="E163" s="519"/>
      <c r="F163" s="519"/>
      <c r="G163" s="519"/>
      <c r="H163" s="519"/>
      <c r="I163" s="519"/>
      <c r="J163" s="55"/>
    </row>
    <row r="164" spans="1:12">
      <c r="A164" s="568"/>
      <c r="B164" s="55" t="s">
        <v>469</v>
      </c>
      <c r="C164" s="190">
        <v>12</v>
      </c>
      <c r="D164" s="190" t="s">
        <v>449</v>
      </c>
      <c r="E164" s="423">
        <v>130</v>
      </c>
      <c r="F164" s="423">
        <f>SUM(C164*E164)</f>
        <v>1560</v>
      </c>
      <c r="G164" s="207" t="s">
        <v>260</v>
      </c>
      <c r="H164" s="207" t="s">
        <v>260</v>
      </c>
      <c r="I164" s="420">
        <f>SUM(F164)</f>
        <v>1560</v>
      </c>
      <c r="J164" s="55"/>
    </row>
    <row r="165" spans="1:12">
      <c r="A165" s="568"/>
      <c r="B165" s="467" t="s">
        <v>552</v>
      </c>
      <c r="C165" s="55"/>
      <c r="D165" s="55"/>
      <c r="E165" s="519"/>
      <c r="F165" s="519"/>
      <c r="G165" s="519"/>
      <c r="H165" s="519"/>
      <c r="I165" s="519"/>
      <c r="J165" s="55"/>
    </row>
    <row r="166" spans="1:12">
      <c r="A166" s="568"/>
      <c r="B166" s="55" t="s">
        <v>540</v>
      </c>
      <c r="C166" s="190">
        <v>12</v>
      </c>
      <c r="D166" s="190" t="s">
        <v>119</v>
      </c>
      <c r="E166" s="423">
        <v>620</v>
      </c>
      <c r="F166" s="423">
        <f>SUM(E166*C166)</f>
        <v>7440</v>
      </c>
      <c r="G166" s="423">
        <v>200</v>
      </c>
      <c r="H166" s="423">
        <f>SUM(G166*C166)</f>
        <v>2400</v>
      </c>
      <c r="I166" s="420">
        <f>SUM(H166+F166)</f>
        <v>9840</v>
      </c>
      <c r="J166" s="55"/>
    </row>
    <row r="167" spans="1:12">
      <c r="A167" s="568"/>
      <c r="B167" s="548" t="s">
        <v>553</v>
      </c>
      <c r="C167" s="547"/>
      <c r="D167" s="547"/>
      <c r="E167" s="573"/>
      <c r="F167" s="573"/>
      <c r="G167" s="573"/>
      <c r="H167" s="573"/>
      <c r="I167" s="573"/>
      <c r="J167" s="55"/>
    </row>
    <row r="168" spans="1:12">
      <c r="A168" s="568"/>
      <c r="B168" s="547" t="s">
        <v>554</v>
      </c>
      <c r="C168" s="578">
        <v>6</v>
      </c>
      <c r="D168" s="576" t="s">
        <v>514</v>
      </c>
      <c r="E168" s="541">
        <v>22470</v>
      </c>
      <c r="F168" s="541">
        <f>SUM(C168*E168)</f>
        <v>134820</v>
      </c>
      <c r="G168" s="584" t="s">
        <v>260</v>
      </c>
      <c r="H168" s="584" t="s">
        <v>260</v>
      </c>
      <c r="I168" s="542">
        <f>SUM(F168)</f>
        <v>134820</v>
      </c>
      <c r="J168" s="55"/>
      <c r="K168" s="448">
        <v>32100</v>
      </c>
      <c r="L168" s="579">
        <v>0.3</v>
      </c>
    </row>
    <row r="169" spans="1:12">
      <c r="A169" s="568"/>
      <c r="B169" s="547" t="s">
        <v>555</v>
      </c>
      <c r="C169" s="578">
        <v>6</v>
      </c>
      <c r="D169" s="576" t="s">
        <v>556</v>
      </c>
      <c r="E169" s="541">
        <v>12150</v>
      </c>
      <c r="F169" s="541">
        <f>SUM(E169*C169)</f>
        <v>72900</v>
      </c>
      <c r="G169" s="652" t="s">
        <v>508</v>
      </c>
      <c r="H169" s="653"/>
      <c r="I169" s="542">
        <f>SUM(H169+F169)</f>
        <v>72900</v>
      </c>
      <c r="J169" s="55"/>
      <c r="K169" s="448">
        <v>12150</v>
      </c>
    </row>
    <row r="170" spans="1:12">
      <c r="A170" s="568"/>
      <c r="B170" s="522" t="s">
        <v>557</v>
      </c>
      <c r="C170" s="55"/>
      <c r="D170" s="55"/>
      <c r="E170" s="519"/>
      <c r="F170" s="519"/>
      <c r="G170" s="519"/>
      <c r="H170" s="519"/>
      <c r="I170" s="519"/>
      <c r="J170" s="55"/>
    </row>
    <row r="171" spans="1:12">
      <c r="A171" s="568"/>
      <c r="B171" s="522" t="s">
        <v>539</v>
      </c>
      <c r="C171" s="190"/>
      <c r="D171" s="190"/>
      <c r="E171" s="423"/>
      <c r="F171" s="423"/>
      <c r="G171" s="423"/>
      <c r="H171" s="423"/>
      <c r="I171" s="420"/>
      <c r="J171" s="55"/>
    </row>
    <row r="172" spans="1:12">
      <c r="A172" s="568"/>
      <c r="B172" s="55" t="s">
        <v>468</v>
      </c>
      <c r="C172" s="580">
        <v>38</v>
      </c>
      <c r="D172" s="190" t="s">
        <v>180</v>
      </c>
      <c r="E172" s="423">
        <v>25</v>
      </c>
      <c r="F172" s="423">
        <f>SUM(E172*C172)</f>
        <v>950</v>
      </c>
      <c r="G172" s="423">
        <v>30</v>
      </c>
      <c r="H172" s="423">
        <f>SUM(G172*C172)</f>
        <v>1140</v>
      </c>
      <c r="I172" s="420">
        <f>SUM(H172+F172)</f>
        <v>2090</v>
      </c>
      <c r="J172" s="55"/>
    </row>
    <row r="173" spans="1:12">
      <c r="A173" s="568"/>
      <c r="B173" s="55" t="s">
        <v>469</v>
      </c>
      <c r="C173" s="580">
        <v>262</v>
      </c>
      <c r="D173" s="190" t="s">
        <v>180</v>
      </c>
      <c r="E173" s="423">
        <v>38</v>
      </c>
      <c r="F173" s="423">
        <f>SUM(E173*C173)</f>
        <v>9956</v>
      </c>
      <c r="G173" s="423">
        <v>40</v>
      </c>
      <c r="H173" s="423">
        <f>SUM(G173*C173)</f>
        <v>10480</v>
      </c>
      <c r="I173" s="420">
        <f>SUM(H173+F173)</f>
        <v>20436</v>
      </c>
      <c r="J173" s="55"/>
    </row>
    <row r="174" spans="1:12">
      <c r="A174" s="568"/>
      <c r="B174" s="55" t="s">
        <v>470</v>
      </c>
      <c r="C174" s="580">
        <v>108</v>
      </c>
      <c r="D174" s="190" t="s">
        <v>180</v>
      </c>
      <c r="E174" s="423">
        <v>60</v>
      </c>
      <c r="F174" s="423">
        <f>SUM(E174*C174)</f>
        <v>6480</v>
      </c>
      <c r="G174" s="423">
        <v>50</v>
      </c>
      <c r="H174" s="423">
        <f>SUM(G174*C174)</f>
        <v>5400</v>
      </c>
      <c r="I174" s="420">
        <f>SUM(H174+F174)</f>
        <v>11880</v>
      </c>
      <c r="J174" s="55"/>
    </row>
    <row r="175" spans="1:12">
      <c r="A175" s="568"/>
      <c r="B175" s="55" t="s">
        <v>471</v>
      </c>
      <c r="C175" s="580">
        <v>97</v>
      </c>
      <c r="D175" s="190" t="s">
        <v>180</v>
      </c>
      <c r="E175" s="423">
        <v>83</v>
      </c>
      <c r="F175" s="423">
        <f>SUM(E175*C175)</f>
        <v>8051</v>
      </c>
      <c r="G175" s="423">
        <v>75</v>
      </c>
      <c r="H175" s="423">
        <f>SUM(G175*C175)</f>
        <v>7275</v>
      </c>
      <c r="I175" s="420">
        <f>SUM(H175+F175)</f>
        <v>15326</v>
      </c>
      <c r="J175" s="55"/>
      <c r="K175" s="461">
        <f>SUM(F172:F175)</f>
        <v>25437</v>
      </c>
    </row>
    <row r="176" spans="1:12">
      <c r="A176" s="568"/>
      <c r="B176" s="55"/>
      <c r="C176" s="580"/>
      <c r="D176" s="190"/>
      <c r="E176" s="423"/>
      <c r="F176" s="423"/>
      <c r="G176" s="449"/>
      <c r="H176" s="423"/>
      <c r="I176" s="420"/>
      <c r="J176" s="55"/>
      <c r="K176" s="461"/>
    </row>
    <row r="177" spans="1:11">
      <c r="A177" s="568"/>
      <c r="B177" s="57" t="s">
        <v>18</v>
      </c>
      <c r="C177" s="86"/>
      <c r="D177" s="57"/>
      <c r="E177" s="81"/>
      <c r="F177" s="433">
        <f>SUM(F162:F175)</f>
        <v>242157</v>
      </c>
      <c r="G177" s="434"/>
      <c r="H177" s="433">
        <f>SUM(H162:H175)</f>
        <v>26695</v>
      </c>
      <c r="I177" s="416"/>
      <c r="J177" s="55"/>
      <c r="K177" s="461">
        <f>+H177+F177</f>
        <v>268852</v>
      </c>
    </row>
    <row r="178" spans="1:11">
      <c r="A178" s="568"/>
      <c r="B178" s="412" t="s">
        <v>80</v>
      </c>
      <c r="C178" s="86"/>
      <c r="D178" s="57"/>
      <c r="E178" s="81"/>
      <c r="F178" s="415"/>
      <c r="G178" s="434"/>
      <c r="H178" s="435"/>
      <c r="I178" s="436">
        <f>SUM(I162:I175)</f>
        <v>268852</v>
      </c>
      <c r="J178" s="55"/>
      <c r="K178" s="61"/>
    </row>
    <row r="179" spans="1:11">
      <c r="A179" s="568"/>
      <c r="B179" s="411" t="s">
        <v>662</v>
      </c>
      <c r="C179" s="55"/>
      <c r="D179" s="55"/>
      <c r="E179" s="519"/>
      <c r="F179" s="519"/>
      <c r="G179" s="519"/>
      <c r="H179" s="519"/>
      <c r="I179" s="519"/>
      <c r="J179" s="55"/>
    </row>
    <row r="180" spans="1:11">
      <c r="A180" s="568"/>
      <c r="B180" s="522" t="s">
        <v>558</v>
      </c>
      <c r="C180" s="55"/>
      <c r="D180" s="55"/>
      <c r="E180" s="519"/>
      <c r="F180" s="519"/>
      <c r="G180" s="519"/>
      <c r="H180" s="519"/>
      <c r="I180" s="519"/>
      <c r="J180" s="55"/>
    </row>
    <row r="181" spans="1:11">
      <c r="A181" s="568"/>
      <c r="B181" s="522" t="s">
        <v>541</v>
      </c>
      <c r="C181" s="55"/>
      <c r="D181" s="55"/>
      <c r="E181" s="519"/>
      <c r="F181" s="519"/>
      <c r="G181" s="519"/>
      <c r="H181" s="519"/>
      <c r="I181" s="519"/>
      <c r="J181" s="55"/>
    </row>
    <row r="182" spans="1:11">
      <c r="A182" s="568"/>
      <c r="B182" s="55" t="s">
        <v>559</v>
      </c>
      <c r="C182" s="190">
        <v>46</v>
      </c>
      <c r="D182" s="190" t="s">
        <v>449</v>
      </c>
      <c r="E182" s="423">
        <v>7</v>
      </c>
      <c r="F182" s="423">
        <f t="shared" ref="F182:F193" si="10">SUM(C182*E182)</f>
        <v>322</v>
      </c>
      <c r="G182" s="207" t="s">
        <v>260</v>
      </c>
      <c r="H182" s="207" t="s">
        <v>260</v>
      </c>
      <c r="I182" s="420">
        <f t="shared" ref="I182:I193" si="11">SUM(F182)</f>
        <v>322</v>
      </c>
      <c r="J182" s="55"/>
    </row>
    <row r="183" spans="1:11">
      <c r="A183" s="568"/>
      <c r="B183" s="55" t="s">
        <v>560</v>
      </c>
      <c r="C183" s="190">
        <v>195</v>
      </c>
      <c r="D183" s="190" t="s">
        <v>449</v>
      </c>
      <c r="E183" s="423">
        <v>10</v>
      </c>
      <c r="F183" s="423">
        <f t="shared" si="10"/>
        <v>1950</v>
      </c>
      <c r="G183" s="207" t="s">
        <v>260</v>
      </c>
      <c r="H183" s="207" t="s">
        <v>260</v>
      </c>
      <c r="I183" s="420">
        <f t="shared" si="11"/>
        <v>1950</v>
      </c>
      <c r="J183" s="55"/>
    </row>
    <row r="184" spans="1:11">
      <c r="A184" s="568"/>
      <c r="B184" s="55" t="s">
        <v>561</v>
      </c>
      <c r="C184" s="190">
        <v>80</v>
      </c>
      <c r="D184" s="190" t="s">
        <v>449</v>
      </c>
      <c r="E184" s="423">
        <v>19</v>
      </c>
      <c r="F184" s="423">
        <f t="shared" si="10"/>
        <v>1520</v>
      </c>
      <c r="G184" s="207" t="s">
        <v>260</v>
      </c>
      <c r="H184" s="207" t="s">
        <v>260</v>
      </c>
      <c r="I184" s="420">
        <f t="shared" si="11"/>
        <v>1520</v>
      </c>
      <c r="J184" s="55"/>
    </row>
    <row r="185" spans="1:11">
      <c r="A185" s="568"/>
      <c r="B185" s="55" t="s">
        <v>562</v>
      </c>
      <c r="C185" s="190">
        <v>6</v>
      </c>
      <c r="D185" s="190" t="s">
        <v>449</v>
      </c>
      <c r="E185" s="423">
        <v>28</v>
      </c>
      <c r="F185" s="423">
        <f t="shared" si="10"/>
        <v>168</v>
      </c>
      <c r="G185" s="207" t="s">
        <v>260</v>
      </c>
      <c r="H185" s="207" t="s">
        <v>260</v>
      </c>
      <c r="I185" s="420">
        <f t="shared" si="11"/>
        <v>168</v>
      </c>
      <c r="J185" s="55"/>
    </row>
    <row r="186" spans="1:11">
      <c r="A186" s="568"/>
      <c r="B186" s="55" t="s">
        <v>563</v>
      </c>
      <c r="C186" s="190">
        <v>26</v>
      </c>
      <c r="D186" s="190" t="s">
        <v>449</v>
      </c>
      <c r="E186" s="423">
        <v>12</v>
      </c>
      <c r="F186" s="423">
        <f t="shared" si="10"/>
        <v>312</v>
      </c>
      <c r="G186" s="207" t="s">
        <v>260</v>
      </c>
      <c r="H186" s="207" t="s">
        <v>260</v>
      </c>
      <c r="I186" s="420">
        <f t="shared" si="11"/>
        <v>312</v>
      </c>
      <c r="J186" s="55"/>
    </row>
    <row r="187" spans="1:11">
      <c r="A187" s="568"/>
      <c r="B187" s="55" t="s">
        <v>474</v>
      </c>
      <c r="C187" s="190">
        <v>1</v>
      </c>
      <c r="D187" s="190" t="s">
        <v>449</v>
      </c>
      <c r="E187" s="423">
        <v>19</v>
      </c>
      <c r="F187" s="423">
        <f t="shared" si="10"/>
        <v>19</v>
      </c>
      <c r="G187" s="207" t="s">
        <v>260</v>
      </c>
      <c r="H187" s="207" t="s">
        <v>260</v>
      </c>
      <c r="I187" s="420">
        <f t="shared" si="11"/>
        <v>19</v>
      </c>
      <c r="J187" s="55"/>
    </row>
    <row r="188" spans="1:11">
      <c r="A188" s="568"/>
      <c r="B188" s="55" t="s">
        <v>564</v>
      </c>
      <c r="C188" s="190">
        <v>12</v>
      </c>
      <c r="D188" s="190" t="s">
        <v>449</v>
      </c>
      <c r="E188" s="423">
        <v>575</v>
      </c>
      <c r="F188" s="423">
        <f t="shared" si="10"/>
        <v>6900</v>
      </c>
      <c r="G188" s="207" t="s">
        <v>260</v>
      </c>
      <c r="H188" s="207" t="s">
        <v>260</v>
      </c>
      <c r="I188" s="420">
        <f t="shared" si="11"/>
        <v>6900</v>
      </c>
      <c r="J188" s="55"/>
    </row>
    <row r="189" spans="1:11">
      <c r="A189" s="568"/>
      <c r="B189" s="55" t="s">
        <v>565</v>
      </c>
      <c r="C189" s="190">
        <v>90</v>
      </c>
      <c r="D189" s="190" t="s">
        <v>449</v>
      </c>
      <c r="E189" s="423">
        <v>34</v>
      </c>
      <c r="F189" s="423">
        <f t="shared" si="10"/>
        <v>3060</v>
      </c>
      <c r="G189" s="207" t="s">
        <v>260</v>
      </c>
      <c r="H189" s="207" t="s">
        <v>260</v>
      </c>
      <c r="I189" s="420">
        <f t="shared" si="11"/>
        <v>3060</v>
      </c>
      <c r="J189" s="55"/>
    </row>
    <row r="190" spans="1:11">
      <c r="A190" s="568"/>
      <c r="B190" s="55" t="s">
        <v>566</v>
      </c>
      <c r="C190" s="190">
        <v>58</v>
      </c>
      <c r="D190" s="190" t="s">
        <v>449</v>
      </c>
      <c r="E190" s="423">
        <v>64</v>
      </c>
      <c r="F190" s="423">
        <f t="shared" si="10"/>
        <v>3712</v>
      </c>
      <c r="G190" s="207" t="s">
        <v>260</v>
      </c>
      <c r="H190" s="207" t="s">
        <v>260</v>
      </c>
      <c r="I190" s="420">
        <f t="shared" si="11"/>
        <v>3712</v>
      </c>
      <c r="J190" s="55"/>
    </row>
    <row r="191" spans="1:11">
      <c r="A191" s="568"/>
      <c r="B191" s="55" t="s">
        <v>567</v>
      </c>
      <c r="C191" s="190">
        <v>6</v>
      </c>
      <c r="D191" s="190" t="s">
        <v>449</v>
      </c>
      <c r="E191" s="423">
        <v>165</v>
      </c>
      <c r="F191" s="423">
        <f t="shared" si="10"/>
        <v>990</v>
      </c>
      <c r="G191" s="207" t="s">
        <v>260</v>
      </c>
      <c r="H191" s="207" t="s">
        <v>260</v>
      </c>
      <c r="I191" s="420">
        <f t="shared" si="11"/>
        <v>990</v>
      </c>
      <c r="J191" s="55"/>
    </row>
    <row r="192" spans="1:11">
      <c r="A192" s="568"/>
      <c r="B192" s="55" t="s">
        <v>568</v>
      </c>
      <c r="C192" s="190">
        <v>24</v>
      </c>
      <c r="D192" s="190" t="s">
        <v>449</v>
      </c>
      <c r="E192" s="423">
        <v>34</v>
      </c>
      <c r="F192" s="423">
        <f t="shared" si="10"/>
        <v>816</v>
      </c>
      <c r="G192" s="207" t="s">
        <v>260</v>
      </c>
      <c r="H192" s="207" t="s">
        <v>260</v>
      </c>
      <c r="I192" s="420">
        <f t="shared" si="11"/>
        <v>816</v>
      </c>
      <c r="J192" s="55"/>
    </row>
    <row r="193" spans="1:11">
      <c r="A193" s="568"/>
      <c r="B193" s="55" t="s">
        <v>569</v>
      </c>
      <c r="C193" s="190">
        <v>23</v>
      </c>
      <c r="D193" s="190" t="s">
        <v>449</v>
      </c>
      <c r="E193" s="423">
        <v>21</v>
      </c>
      <c r="F193" s="423">
        <f t="shared" si="10"/>
        <v>483</v>
      </c>
      <c r="G193" s="207" t="s">
        <v>260</v>
      </c>
      <c r="H193" s="207" t="s">
        <v>260</v>
      </c>
      <c r="I193" s="420">
        <f t="shared" si="11"/>
        <v>483</v>
      </c>
      <c r="J193" s="55"/>
    </row>
    <row r="194" spans="1:11">
      <c r="A194" s="568"/>
      <c r="B194" s="55"/>
      <c r="C194" s="190"/>
      <c r="D194" s="190"/>
      <c r="E194" s="423"/>
      <c r="F194" s="423"/>
      <c r="G194" s="207"/>
      <c r="H194" s="207"/>
      <c r="I194" s="420"/>
      <c r="J194" s="55"/>
    </row>
    <row r="195" spans="1:11">
      <c r="A195" s="568"/>
      <c r="B195" s="55"/>
      <c r="C195" s="190"/>
      <c r="D195" s="190"/>
      <c r="E195" s="423"/>
      <c r="F195" s="423"/>
      <c r="G195" s="207"/>
      <c r="H195" s="207"/>
      <c r="I195" s="420"/>
      <c r="J195" s="55"/>
    </row>
    <row r="196" spans="1:11">
      <c r="A196" s="568"/>
      <c r="B196" s="57" t="s">
        <v>18</v>
      </c>
      <c r="C196" s="86"/>
      <c r="D196" s="57"/>
      <c r="E196" s="81"/>
      <c r="F196" s="433">
        <f>SUM(F181:F195)</f>
        <v>20252</v>
      </c>
      <c r="G196" s="434"/>
      <c r="H196" s="433">
        <f>SUM(H181:H195)</f>
        <v>0</v>
      </c>
      <c r="I196" s="416"/>
      <c r="J196" s="55"/>
      <c r="K196" s="461">
        <f>+H196+F196</f>
        <v>20252</v>
      </c>
    </row>
    <row r="197" spans="1:11">
      <c r="A197" s="568"/>
      <c r="B197" s="412" t="s">
        <v>80</v>
      </c>
      <c r="C197" s="86"/>
      <c r="D197" s="57"/>
      <c r="E197" s="81"/>
      <c r="F197" s="415"/>
      <c r="G197" s="434"/>
      <c r="H197" s="435"/>
      <c r="I197" s="436">
        <f>SUM(I181:I195)</f>
        <v>20252</v>
      </c>
      <c r="J197" s="55"/>
      <c r="K197" s="61"/>
    </row>
    <row r="198" spans="1:11">
      <c r="A198" s="568"/>
      <c r="B198" s="411" t="s">
        <v>661</v>
      </c>
      <c r="C198" s="55"/>
      <c r="D198" s="55"/>
      <c r="E198" s="519"/>
      <c r="F198" s="519"/>
      <c r="G198" s="519"/>
      <c r="H198" s="519"/>
      <c r="I198" s="519"/>
      <c r="J198" s="55"/>
    </row>
    <row r="199" spans="1:11">
      <c r="A199" s="568"/>
      <c r="B199" s="522" t="s">
        <v>558</v>
      </c>
      <c r="C199" s="55"/>
      <c r="D199" s="55"/>
      <c r="E199" s="519"/>
      <c r="F199" s="519"/>
      <c r="G199" s="519"/>
      <c r="H199" s="519"/>
      <c r="I199" s="420"/>
      <c r="J199" s="55"/>
    </row>
    <row r="200" spans="1:11">
      <c r="A200" s="568"/>
      <c r="B200" s="522" t="s">
        <v>541</v>
      </c>
      <c r="C200" s="55"/>
      <c r="D200" s="55"/>
      <c r="E200" s="519"/>
      <c r="F200" s="519"/>
      <c r="G200" s="519"/>
      <c r="H200" s="519"/>
      <c r="I200" s="420"/>
      <c r="J200" s="55"/>
    </row>
    <row r="201" spans="1:11">
      <c r="A201" s="568"/>
      <c r="B201" s="55" t="s">
        <v>483</v>
      </c>
      <c r="C201" s="190">
        <v>23</v>
      </c>
      <c r="D201" s="190" t="s">
        <v>449</v>
      </c>
      <c r="E201" s="423">
        <v>18</v>
      </c>
      <c r="F201" s="423">
        <f>SUM(C201*E201)</f>
        <v>414</v>
      </c>
      <c r="G201" s="207" t="s">
        <v>260</v>
      </c>
      <c r="H201" s="207" t="s">
        <v>260</v>
      </c>
      <c r="I201" s="420">
        <f>SUM(F201)</f>
        <v>414</v>
      </c>
      <c r="J201" s="55"/>
    </row>
    <row r="202" spans="1:11">
      <c r="A202" s="568"/>
      <c r="B202" s="55" t="s">
        <v>544</v>
      </c>
      <c r="C202" s="190">
        <v>48</v>
      </c>
      <c r="D202" s="190" t="s">
        <v>449</v>
      </c>
      <c r="E202" s="423">
        <v>40</v>
      </c>
      <c r="F202" s="423">
        <f>SUM(C202*E202)</f>
        <v>1920</v>
      </c>
      <c r="G202" s="207" t="s">
        <v>260</v>
      </c>
      <c r="H202" s="207" t="s">
        <v>260</v>
      </c>
      <c r="I202" s="420">
        <f>SUM(F202)</f>
        <v>1920</v>
      </c>
      <c r="J202" s="55"/>
    </row>
    <row r="203" spans="1:11">
      <c r="A203" s="568"/>
      <c r="B203" s="467" t="s">
        <v>548</v>
      </c>
      <c r="C203" s="190"/>
      <c r="D203" s="190"/>
      <c r="E203" s="423"/>
      <c r="F203" s="423"/>
      <c r="G203" s="207"/>
      <c r="H203" s="207"/>
      <c r="I203" s="420"/>
      <c r="J203" s="55"/>
    </row>
    <row r="204" spans="1:11">
      <c r="A204" s="568"/>
      <c r="B204" s="467" t="s">
        <v>551</v>
      </c>
      <c r="C204" s="55"/>
      <c r="D204" s="55"/>
      <c r="E204" s="519"/>
      <c r="F204" s="519"/>
      <c r="G204" s="519"/>
      <c r="H204" s="519"/>
      <c r="I204" s="519"/>
      <c r="J204" s="55"/>
    </row>
    <row r="205" spans="1:11">
      <c r="A205" s="568"/>
      <c r="B205" s="55" t="s">
        <v>469</v>
      </c>
      <c r="C205" s="190">
        <v>26</v>
      </c>
      <c r="D205" s="190" t="s">
        <v>449</v>
      </c>
      <c r="E205" s="423">
        <v>130</v>
      </c>
      <c r="F205" s="423">
        <f>SUM(C205*E205)</f>
        <v>3380</v>
      </c>
      <c r="G205" s="207" t="s">
        <v>260</v>
      </c>
      <c r="H205" s="207" t="s">
        <v>260</v>
      </c>
      <c r="I205" s="420">
        <f>SUM(F205)</f>
        <v>3380</v>
      </c>
      <c r="J205" s="55"/>
    </row>
    <row r="206" spans="1:11">
      <c r="A206" s="568"/>
      <c r="B206" s="467" t="s">
        <v>570</v>
      </c>
      <c r="C206" s="55"/>
      <c r="D206" s="55"/>
      <c r="E206" s="519"/>
      <c r="F206" s="519"/>
      <c r="G206" s="519"/>
      <c r="H206" s="519"/>
      <c r="I206" s="519"/>
      <c r="J206" s="55"/>
    </row>
    <row r="207" spans="1:11">
      <c r="A207" s="568"/>
      <c r="B207" s="55" t="s">
        <v>469</v>
      </c>
      <c r="C207" s="570">
        <v>23</v>
      </c>
      <c r="D207" s="190" t="s">
        <v>449</v>
      </c>
      <c r="E207" s="423">
        <v>485</v>
      </c>
      <c r="F207" s="423">
        <f>SUM(C207*E207)</f>
        <v>11155</v>
      </c>
      <c r="G207" s="207" t="s">
        <v>260</v>
      </c>
      <c r="H207" s="207" t="s">
        <v>260</v>
      </c>
      <c r="I207" s="420">
        <f>SUM(F207)</f>
        <v>11155</v>
      </c>
      <c r="J207" s="55"/>
    </row>
    <row r="208" spans="1:11">
      <c r="A208" s="568"/>
      <c r="B208" s="55" t="s">
        <v>470</v>
      </c>
      <c r="C208" s="570">
        <v>23</v>
      </c>
      <c r="D208" s="190" t="s">
        <v>449</v>
      </c>
      <c r="E208" s="423">
        <v>550</v>
      </c>
      <c r="F208" s="423">
        <f>SUM(C208*E208)</f>
        <v>12650</v>
      </c>
      <c r="G208" s="207" t="s">
        <v>260</v>
      </c>
      <c r="H208" s="207" t="s">
        <v>260</v>
      </c>
      <c r="I208" s="420">
        <f>SUM(F208)</f>
        <v>12650</v>
      </c>
      <c r="J208" s="55"/>
    </row>
    <row r="209" spans="1:11">
      <c r="A209" s="568"/>
      <c r="B209" s="467" t="s">
        <v>571</v>
      </c>
      <c r="C209" s="55"/>
      <c r="D209" s="55"/>
      <c r="E209" s="519"/>
      <c r="F209" s="519"/>
      <c r="G209" s="519"/>
      <c r="H209" s="519"/>
      <c r="I209" s="519"/>
      <c r="J209" s="55"/>
    </row>
    <row r="210" spans="1:11">
      <c r="A210" s="568"/>
      <c r="B210" s="55" t="s">
        <v>468</v>
      </c>
      <c r="C210" s="570">
        <v>23</v>
      </c>
      <c r="D210" s="190" t="s">
        <v>449</v>
      </c>
      <c r="E210" s="423">
        <v>171</v>
      </c>
      <c r="F210" s="423">
        <f>SUM(C210*E210)</f>
        <v>3933</v>
      </c>
      <c r="G210" s="207" t="s">
        <v>260</v>
      </c>
      <c r="H210" s="207" t="s">
        <v>260</v>
      </c>
      <c r="I210" s="420">
        <f>SUM(F210)</f>
        <v>3933</v>
      </c>
      <c r="J210" s="55"/>
    </row>
    <row r="211" spans="1:11">
      <c r="A211" s="568"/>
      <c r="B211" s="55" t="s">
        <v>469</v>
      </c>
      <c r="C211" s="570">
        <v>23</v>
      </c>
      <c r="D211" s="190" t="s">
        <v>449</v>
      </c>
      <c r="E211" s="423">
        <v>237</v>
      </c>
      <c r="F211" s="423">
        <f>SUM(C211*E211)</f>
        <v>5451</v>
      </c>
      <c r="G211" s="207" t="s">
        <v>260</v>
      </c>
      <c r="H211" s="207" t="s">
        <v>260</v>
      </c>
      <c r="I211" s="420">
        <f>SUM(F211)</f>
        <v>5451</v>
      </c>
      <c r="J211" s="55"/>
    </row>
    <row r="212" spans="1:11">
      <c r="A212" s="568"/>
      <c r="B212" s="55"/>
      <c r="C212" s="55"/>
      <c r="D212" s="55"/>
      <c r="E212" s="519"/>
      <c r="F212" s="519"/>
      <c r="G212" s="519"/>
      <c r="H212" s="519"/>
      <c r="I212" s="519"/>
      <c r="J212" s="55"/>
    </row>
    <row r="213" spans="1:11">
      <c r="A213" s="568"/>
      <c r="B213" s="55"/>
      <c r="C213" s="55"/>
      <c r="D213" s="55"/>
      <c r="E213" s="519"/>
      <c r="F213" s="519"/>
      <c r="G213" s="519"/>
      <c r="H213" s="519"/>
      <c r="I213" s="519"/>
      <c r="J213" s="55"/>
    </row>
    <row r="214" spans="1:11">
      <c r="A214" s="568"/>
      <c r="B214" s="55"/>
      <c r="C214" s="55"/>
      <c r="D214" s="55"/>
      <c r="E214" s="519"/>
      <c r="F214" s="519"/>
      <c r="G214" s="519"/>
      <c r="H214" s="519"/>
      <c r="I214" s="519"/>
      <c r="J214" s="55"/>
    </row>
    <row r="215" spans="1:11">
      <c r="A215" s="568"/>
      <c r="B215" s="57" t="s">
        <v>18</v>
      </c>
      <c r="C215" s="86"/>
      <c r="D215" s="57"/>
      <c r="E215" s="81"/>
      <c r="F215" s="433">
        <f>SUM(F199:F214)</f>
        <v>38903</v>
      </c>
      <c r="G215" s="434"/>
      <c r="H215" s="433">
        <f>SUM(H199:H214)</f>
        <v>0</v>
      </c>
      <c r="I215" s="416"/>
      <c r="J215" s="55"/>
      <c r="K215" s="461">
        <f>+H215+F215</f>
        <v>38903</v>
      </c>
    </row>
    <row r="216" spans="1:11">
      <c r="A216" s="568"/>
      <c r="B216" s="412" t="s">
        <v>80</v>
      </c>
      <c r="C216" s="86"/>
      <c r="D216" s="57"/>
      <c r="E216" s="81"/>
      <c r="F216" s="415"/>
      <c r="G216" s="434"/>
      <c r="H216" s="435"/>
      <c r="I216" s="436">
        <f>SUM(I199:I214)</f>
        <v>38903</v>
      </c>
      <c r="J216" s="55"/>
      <c r="K216" s="61"/>
    </row>
    <row r="217" spans="1:11">
      <c r="A217" s="568"/>
      <c r="B217" s="411" t="s">
        <v>661</v>
      </c>
      <c r="C217" s="55"/>
      <c r="D217" s="55"/>
      <c r="E217" s="519"/>
      <c r="F217" s="519"/>
      <c r="G217" s="519"/>
      <c r="H217" s="519"/>
      <c r="I217" s="519"/>
      <c r="J217" s="55"/>
    </row>
    <row r="218" spans="1:11">
      <c r="A218" s="568"/>
      <c r="B218" s="522" t="s">
        <v>572</v>
      </c>
      <c r="C218" s="55"/>
      <c r="D218" s="55"/>
      <c r="E218" s="519"/>
      <c r="F218" s="519"/>
      <c r="G218" s="519"/>
      <c r="H218" s="519"/>
      <c r="I218" s="519"/>
      <c r="J218" s="55"/>
    </row>
    <row r="219" spans="1:11">
      <c r="A219" s="568"/>
      <c r="B219" s="522" t="s">
        <v>539</v>
      </c>
      <c r="C219" s="55"/>
      <c r="D219" s="55"/>
      <c r="E219" s="519"/>
      <c r="F219" s="519"/>
      <c r="G219" s="519"/>
      <c r="H219" s="519"/>
      <c r="I219" s="519"/>
      <c r="J219" s="55"/>
    </row>
    <row r="220" spans="1:11">
      <c r="A220" s="568"/>
      <c r="B220" s="55" t="s">
        <v>468</v>
      </c>
      <c r="C220" s="580">
        <v>163</v>
      </c>
      <c r="D220" s="190" t="s">
        <v>180</v>
      </c>
      <c r="E220" s="423">
        <v>25</v>
      </c>
      <c r="F220" s="423">
        <f>SUM(E220*C220)</f>
        <v>4075</v>
      </c>
      <c r="G220" s="423">
        <v>30</v>
      </c>
      <c r="H220" s="423">
        <f>SUM(G220*C220)</f>
        <v>4890</v>
      </c>
      <c r="I220" s="420">
        <f>SUM(H220+F220)</f>
        <v>8965</v>
      </c>
      <c r="J220" s="55"/>
    </row>
    <row r="221" spans="1:11">
      <c r="A221" s="568"/>
      <c r="B221" s="55" t="s">
        <v>469</v>
      </c>
      <c r="C221" s="580">
        <v>263</v>
      </c>
      <c r="D221" s="190" t="s">
        <v>180</v>
      </c>
      <c r="E221" s="423">
        <v>37</v>
      </c>
      <c r="F221" s="423">
        <f>SUM(E221*C221)</f>
        <v>9731</v>
      </c>
      <c r="G221" s="423">
        <v>40</v>
      </c>
      <c r="H221" s="423">
        <f>SUM(G221*C221)</f>
        <v>10520</v>
      </c>
      <c r="I221" s="420">
        <f>SUM(H221+F221)</f>
        <v>20251</v>
      </c>
      <c r="J221" s="55"/>
      <c r="K221" s="461">
        <f>SUM(F220:F221)</f>
        <v>13806</v>
      </c>
    </row>
    <row r="222" spans="1:11">
      <c r="A222" s="568"/>
      <c r="B222" s="522" t="s">
        <v>541</v>
      </c>
      <c r="C222" s="55"/>
      <c r="D222" s="55"/>
      <c r="E222" s="519"/>
      <c r="F222" s="519"/>
      <c r="G222" s="519"/>
      <c r="H222" s="519"/>
      <c r="I222" s="519"/>
      <c r="J222" s="55"/>
    </row>
    <row r="223" spans="1:11">
      <c r="A223" s="568"/>
      <c r="B223" s="55" t="s">
        <v>559</v>
      </c>
      <c r="C223" s="190">
        <v>22</v>
      </c>
      <c r="D223" s="190" t="s">
        <v>449</v>
      </c>
      <c r="E223" s="423">
        <v>7</v>
      </c>
      <c r="F223" s="423">
        <f>SUM(C223*E223)</f>
        <v>154</v>
      </c>
      <c r="G223" s="207" t="s">
        <v>260</v>
      </c>
      <c r="H223" s="207" t="s">
        <v>260</v>
      </c>
      <c r="I223" s="420">
        <f>SUM(F223)</f>
        <v>154</v>
      </c>
      <c r="J223" s="55"/>
    </row>
    <row r="224" spans="1:11">
      <c r="A224" s="568"/>
      <c r="B224" s="55" t="s">
        <v>473</v>
      </c>
      <c r="C224" s="190">
        <v>57</v>
      </c>
      <c r="D224" s="190" t="s">
        <v>449</v>
      </c>
      <c r="E224" s="423">
        <v>7</v>
      </c>
      <c r="F224" s="423">
        <f>SUM(C224*E224)</f>
        <v>399</v>
      </c>
      <c r="G224" s="207" t="s">
        <v>260</v>
      </c>
      <c r="H224" s="207" t="s">
        <v>260</v>
      </c>
      <c r="I224" s="420">
        <f>SUM(F224)</f>
        <v>399</v>
      </c>
      <c r="J224" s="55"/>
    </row>
    <row r="225" spans="1:11">
      <c r="A225" s="568"/>
      <c r="B225" s="55" t="s">
        <v>563</v>
      </c>
      <c r="C225" s="190">
        <v>35</v>
      </c>
      <c r="D225" s="190" t="s">
        <v>449</v>
      </c>
      <c r="E225" s="423">
        <v>12</v>
      </c>
      <c r="F225" s="423">
        <f>SUM(C225*E225)</f>
        <v>420</v>
      </c>
      <c r="G225" s="207" t="s">
        <v>260</v>
      </c>
      <c r="H225" s="207" t="s">
        <v>260</v>
      </c>
      <c r="I225" s="420">
        <f>SUM(F225)</f>
        <v>420</v>
      </c>
      <c r="J225" s="55"/>
    </row>
    <row r="226" spans="1:11">
      <c r="A226" s="568"/>
      <c r="B226" s="55" t="s">
        <v>573</v>
      </c>
      <c r="C226" s="190">
        <v>23</v>
      </c>
      <c r="D226" s="190" t="s">
        <v>449</v>
      </c>
      <c r="E226" s="423">
        <v>16</v>
      </c>
      <c r="F226" s="423">
        <f>SUM(C226*E226)</f>
        <v>368</v>
      </c>
      <c r="G226" s="207" t="s">
        <v>260</v>
      </c>
      <c r="H226" s="207" t="s">
        <v>260</v>
      </c>
      <c r="I226" s="420">
        <f>SUM(F226)</f>
        <v>368</v>
      </c>
      <c r="J226" s="55"/>
    </row>
    <row r="227" spans="1:11">
      <c r="A227" s="568"/>
      <c r="B227" s="55" t="s">
        <v>544</v>
      </c>
      <c r="C227" s="190">
        <v>23</v>
      </c>
      <c r="D227" s="190" t="s">
        <v>449</v>
      </c>
      <c r="E227" s="423">
        <v>40</v>
      </c>
      <c r="F227" s="423">
        <f>SUM(C227*E227)</f>
        <v>920</v>
      </c>
      <c r="G227" s="207" t="s">
        <v>260</v>
      </c>
      <c r="H227" s="207" t="s">
        <v>260</v>
      </c>
      <c r="I227" s="420">
        <f>SUM(F227)</f>
        <v>920</v>
      </c>
      <c r="J227" s="55"/>
    </row>
    <row r="228" spans="1:11">
      <c r="A228" s="568"/>
      <c r="B228" s="467" t="s">
        <v>548</v>
      </c>
      <c r="C228" s="55"/>
      <c r="D228" s="55"/>
      <c r="E228" s="519"/>
      <c r="F228" s="519"/>
      <c r="G228" s="519"/>
      <c r="H228" s="519"/>
      <c r="I228" s="519"/>
      <c r="J228" s="55"/>
    </row>
    <row r="229" spans="1:11">
      <c r="A229" s="568"/>
      <c r="B229" s="467" t="s">
        <v>574</v>
      </c>
      <c r="C229" s="55"/>
      <c r="D229" s="55"/>
      <c r="E229" s="519"/>
      <c r="F229" s="519"/>
      <c r="G229" s="519"/>
      <c r="H229" s="519"/>
      <c r="I229" s="519"/>
      <c r="J229" s="55"/>
    </row>
    <row r="230" spans="1:11">
      <c r="A230" s="568"/>
      <c r="B230" s="55" t="s">
        <v>469</v>
      </c>
      <c r="C230" s="570">
        <v>12</v>
      </c>
      <c r="D230" s="190" t="s">
        <v>119</v>
      </c>
      <c r="E230" s="423">
        <v>865</v>
      </c>
      <c r="F230" s="423">
        <f>SUM(C230*E230)</f>
        <v>10380</v>
      </c>
      <c r="G230" s="207" t="s">
        <v>260</v>
      </c>
      <c r="H230" s="207" t="s">
        <v>260</v>
      </c>
      <c r="I230" s="420">
        <f>SUM(F230)</f>
        <v>10380</v>
      </c>
      <c r="J230" s="55"/>
    </row>
    <row r="231" spans="1:11">
      <c r="A231" s="568"/>
      <c r="B231" s="55"/>
      <c r="C231" s="55"/>
      <c r="D231" s="55"/>
      <c r="E231" s="519"/>
      <c r="F231" s="519"/>
      <c r="G231" s="519"/>
      <c r="H231" s="519"/>
      <c r="I231" s="519"/>
      <c r="J231" s="55"/>
    </row>
    <row r="232" spans="1:11">
      <c r="A232" s="568"/>
      <c r="B232" s="55"/>
      <c r="C232" s="55"/>
      <c r="D232" s="55"/>
      <c r="E232" s="519"/>
      <c r="F232" s="519"/>
      <c r="G232" s="519"/>
      <c r="H232" s="519"/>
      <c r="I232" s="519"/>
      <c r="J232" s="55"/>
    </row>
    <row r="233" spans="1:11">
      <c r="A233" s="568"/>
      <c r="B233" s="55"/>
      <c r="C233" s="55"/>
      <c r="D233" s="55"/>
      <c r="E233" s="519"/>
      <c r="F233" s="519"/>
      <c r="G233" s="519"/>
      <c r="H233" s="519"/>
      <c r="I233" s="519"/>
      <c r="J233" s="55"/>
    </row>
    <row r="234" spans="1:11">
      <c r="A234" s="568"/>
      <c r="B234" s="57" t="s">
        <v>18</v>
      </c>
      <c r="C234" s="86"/>
      <c r="D234" s="57"/>
      <c r="E234" s="81"/>
      <c r="F234" s="433">
        <f>SUM(F219:F233)</f>
        <v>26447</v>
      </c>
      <c r="G234" s="434"/>
      <c r="H234" s="433">
        <f>SUM(H219:H233)</f>
        <v>15410</v>
      </c>
      <c r="I234" s="416"/>
      <c r="J234" s="55"/>
      <c r="K234" s="461">
        <f>+H234+F234</f>
        <v>41857</v>
      </c>
    </row>
    <row r="235" spans="1:11">
      <c r="A235" s="568"/>
      <c r="B235" s="412" t="s">
        <v>80</v>
      </c>
      <c r="C235" s="86"/>
      <c r="D235" s="57"/>
      <c r="E235" s="81"/>
      <c r="F235" s="415"/>
      <c r="G235" s="434"/>
      <c r="H235" s="435"/>
      <c r="I235" s="436">
        <f>SUM(I219:I233)</f>
        <v>41857</v>
      </c>
      <c r="J235" s="55"/>
      <c r="K235" s="61"/>
    </row>
    <row r="236" spans="1:11">
      <c r="A236" s="568"/>
      <c r="B236" s="411" t="s">
        <v>662</v>
      </c>
      <c r="C236" s="55"/>
      <c r="D236" s="55"/>
      <c r="E236" s="519"/>
      <c r="F236" s="519"/>
      <c r="G236" s="519"/>
      <c r="H236" s="519"/>
      <c r="I236" s="519"/>
      <c r="J236" s="55"/>
    </row>
    <row r="237" spans="1:11">
      <c r="A237" s="568"/>
      <c r="B237" s="522" t="s">
        <v>575</v>
      </c>
      <c r="C237" s="55"/>
      <c r="D237" s="55"/>
      <c r="E237" s="519"/>
      <c r="F237" s="519"/>
      <c r="G237" s="519"/>
      <c r="H237" s="519"/>
      <c r="I237" s="519"/>
      <c r="J237" s="55"/>
    </row>
    <row r="238" spans="1:11">
      <c r="A238" s="568"/>
      <c r="B238" s="522" t="s">
        <v>539</v>
      </c>
      <c r="C238" s="55"/>
      <c r="D238" s="55"/>
      <c r="E238" s="519"/>
      <c r="F238" s="519"/>
      <c r="G238" s="519"/>
      <c r="H238" s="519"/>
      <c r="I238" s="519"/>
      <c r="J238" s="55"/>
    </row>
    <row r="239" spans="1:11">
      <c r="A239" s="568"/>
      <c r="B239" s="55" t="s">
        <v>470</v>
      </c>
      <c r="C239" s="580">
        <v>4</v>
      </c>
      <c r="D239" s="190" t="s">
        <v>180</v>
      </c>
      <c r="E239" s="423">
        <v>60</v>
      </c>
      <c r="F239" s="423">
        <f>SUM(E239*C239)</f>
        <v>240</v>
      </c>
      <c r="G239" s="423">
        <v>50</v>
      </c>
      <c r="H239" s="423">
        <f>SUM(G239*C239)</f>
        <v>200</v>
      </c>
      <c r="I239" s="420">
        <f>SUM(H239+F239)</f>
        <v>440</v>
      </c>
      <c r="J239" s="55"/>
      <c r="K239" s="461">
        <f>SUM(F239)</f>
        <v>240</v>
      </c>
    </row>
    <row r="240" spans="1:11">
      <c r="A240" s="568"/>
      <c r="B240" s="522" t="s">
        <v>541</v>
      </c>
      <c r="C240" s="55"/>
      <c r="D240" s="55"/>
      <c r="E240" s="519"/>
      <c r="F240" s="519"/>
      <c r="G240" s="519"/>
      <c r="H240" s="519"/>
      <c r="I240" s="519"/>
      <c r="J240" s="55"/>
    </row>
    <row r="241" spans="1:13">
      <c r="A241" s="568"/>
      <c r="B241" s="55" t="s">
        <v>561</v>
      </c>
      <c r="C241" s="190">
        <v>3</v>
      </c>
      <c r="D241" s="190" t="s">
        <v>449</v>
      </c>
      <c r="E241" s="423">
        <v>19</v>
      </c>
      <c r="F241" s="423">
        <f>SUM(C241*E241)</f>
        <v>57</v>
      </c>
      <c r="G241" s="207" t="s">
        <v>260</v>
      </c>
      <c r="H241" s="207" t="s">
        <v>260</v>
      </c>
      <c r="I241" s="420">
        <f>SUM(F241)</f>
        <v>57</v>
      </c>
      <c r="J241" s="55"/>
    </row>
    <row r="242" spans="1:13">
      <c r="A242" s="568"/>
      <c r="B242" s="55" t="s">
        <v>566</v>
      </c>
      <c r="C242" s="190">
        <v>1</v>
      </c>
      <c r="D242" s="190" t="s">
        <v>449</v>
      </c>
      <c r="E242" s="423">
        <v>64</v>
      </c>
      <c r="F242" s="423">
        <f>SUM(C242*E242)</f>
        <v>64</v>
      </c>
      <c r="G242" s="207" t="s">
        <v>260</v>
      </c>
      <c r="H242" s="207" t="s">
        <v>260</v>
      </c>
      <c r="I242" s="420">
        <f>SUM(F242)</f>
        <v>64</v>
      </c>
      <c r="J242" s="55"/>
    </row>
    <row r="243" spans="1:13">
      <c r="A243" s="568"/>
      <c r="B243" s="467" t="s">
        <v>548</v>
      </c>
      <c r="C243" s="55"/>
      <c r="D243" s="55"/>
      <c r="E243" s="519"/>
      <c r="F243" s="519"/>
      <c r="G243" s="519"/>
      <c r="H243" s="519"/>
      <c r="I243" s="519"/>
      <c r="J243" s="55"/>
    </row>
    <row r="244" spans="1:13">
      <c r="A244" s="568"/>
      <c r="B244" s="467" t="s">
        <v>576</v>
      </c>
      <c r="C244" s="55"/>
      <c r="D244" s="55"/>
      <c r="E244" s="519"/>
      <c r="F244" s="519"/>
      <c r="G244" s="519"/>
      <c r="H244" s="519"/>
      <c r="I244" s="519"/>
      <c r="J244" s="55"/>
    </row>
    <row r="245" spans="1:13">
      <c r="A245" s="568"/>
      <c r="B245" s="55" t="s">
        <v>470</v>
      </c>
      <c r="C245" s="580">
        <v>2</v>
      </c>
      <c r="D245" s="190" t="s">
        <v>577</v>
      </c>
      <c r="E245" s="423">
        <v>1485</v>
      </c>
      <c r="F245" s="423">
        <f>SUM(E245*C245)</f>
        <v>2970</v>
      </c>
      <c r="G245" s="207" t="s">
        <v>260</v>
      </c>
      <c r="H245" s="207" t="s">
        <v>260</v>
      </c>
      <c r="I245" s="420">
        <f>SUM(F245)</f>
        <v>2970</v>
      </c>
      <c r="J245" s="55"/>
      <c r="K245" s="461">
        <f>SUM(K145+K175+K221+K239)</f>
        <v>65817</v>
      </c>
    </row>
    <row r="246" spans="1:13">
      <c r="A246" s="568"/>
      <c r="B246" s="487" t="s">
        <v>529</v>
      </c>
      <c r="C246" s="576">
        <v>1</v>
      </c>
      <c r="D246" s="576" t="s">
        <v>19</v>
      </c>
      <c r="E246" s="541">
        <v>13163</v>
      </c>
      <c r="F246" s="541">
        <f>SUM(E246*C246)</f>
        <v>13163</v>
      </c>
      <c r="G246" s="423">
        <v>3949</v>
      </c>
      <c r="H246" s="423">
        <f>SUM(G246*C246)</f>
        <v>3949</v>
      </c>
      <c r="I246" s="420">
        <f>SUM(H246+F246)</f>
        <v>17112</v>
      </c>
      <c r="J246" s="55"/>
      <c r="K246" s="10">
        <f>SUM(K245*20%)</f>
        <v>13163.400000000001</v>
      </c>
      <c r="L246" s="8">
        <f>SUM(K246*30%)</f>
        <v>3949.0200000000004</v>
      </c>
    </row>
    <row r="247" spans="1:13">
      <c r="A247" s="568"/>
      <c r="B247" s="55" t="s">
        <v>530</v>
      </c>
      <c r="C247" s="580">
        <v>104</v>
      </c>
      <c r="D247" s="190" t="s">
        <v>250</v>
      </c>
      <c r="E247" s="207" t="s">
        <v>260</v>
      </c>
      <c r="F247" s="207" t="s">
        <v>260</v>
      </c>
      <c r="G247" s="423">
        <v>99</v>
      </c>
      <c r="H247" s="423">
        <f>SUM(G247*C247)</f>
        <v>10296</v>
      </c>
      <c r="I247" s="420">
        <f>SUM(H247)</f>
        <v>10296</v>
      </c>
      <c r="J247" s="55"/>
    </row>
    <row r="248" spans="1:13">
      <c r="A248" s="568"/>
      <c r="B248" s="55" t="s">
        <v>531</v>
      </c>
      <c r="C248" s="580">
        <v>38</v>
      </c>
      <c r="D248" s="190" t="s">
        <v>250</v>
      </c>
      <c r="E248" s="423">
        <v>537</v>
      </c>
      <c r="F248" s="423">
        <f>SUM(E248*C248)</f>
        <v>20406</v>
      </c>
      <c r="G248" s="423">
        <v>91</v>
      </c>
      <c r="H248" s="423">
        <f>SUM(G248*C248)</f>
        <v>3458</v>
      </c>
      <c r="I248" s="420">
        <f>SUM(H248+F248)</f>
        <v>23864</v>
      </c>
      <c r="J248" s="55"/>
      <c r="K248" s="461"/>
    </row>
    <row r="249" spans="1:13">
      <c r="A249" s="568"/>
      <c r="B249" s="57" t="s">
        <v>18</v>
      </c>
      <c r="C249" s="86"/>
      <c r="D249" s="57"/>
      <c r="E249" s="81"/>
      <c r="F249" s="433">
        <f>SUM(F238:F248)</f>
        <v>36900</v>
      </c>
      <c r="G249" s="434"/>
      <c r="H249" s="433">
        <f>SUM(H239:H248)</f>
        <v>17903</v>
      </c>
      <c r="I249" s="416"/>
      <c r="J249" s="55"/>
      <c r="K249" s="502">
        <f>+H249+F249</f>
        <v>54803</v>
      </c>
      <c r="L249" s="66"/>
      <c r="M249" s="468"/>
    </row>
    <row r="250" spans="1:13">
      <c r="A250" s="568"/>
      <c r="B250" s="412" t="s">
        <v>80</v>
      </c>
      <c r="C250" s="86"/>
      <c r="D250" s="57"/>
      <c r="E250" s="81"/>
      <c r="F250" s="415"/>
      <c r="G250" s="434"/>
      <c r="H250" s="435"/>
      <c r="I250" s="436">
        <f>SUM(I236:I248)</f>
        <v>54803</v>
      </c>
      <c r="J250" s="55"/>
    </row>
    <row r="251" spans="1:13">
      <c r="A251" s="568"/>
      <c r="B251" s="56" t="s">
        <v>580</v>
      </c>
      <c r="C251" s="86">
        <v>1</v>
      </c>
      <c r="D251" s="57" t="s">
        <v>297</v>
      </c>
      <c r="E251" s="415">
        <f>+F249+F234+F215+F196+F177+F158+F139+F120+F101+F82+F63+F44+F25</f>
        <v>864518</v>
      </c>
      <c r="F251" s="415">
        <f>+E251*C251</f>
        <v>864518</v>
      </c>
      <c r="G251" s="415">
        <f>+H249+H234+H215+H196+H177+H158+H139+H120+H101+H82+H63+H44+H25</f>
        <v>149691</v>
      </c>
      <c r="H251" s="415">
        <f>+G251*C251</f>
        <v>149691</v>
      </c>
      <c r="I251" s="415">
        <f>+H251+F251</f>
        <v>1014209</v>
      </c>
      <c r="J251" s="55"/>
    </row>
    <row r="252" spans="1:13">
      <c r="A252" s="568"/>
      <c r="B252" s="56" t="s">
        <v>580</v>
      </c>
      <c r="C252" s="86">
        <v>2</v>
      </c>
      <c r="D252" s="57" t="s">
        <v>297</v>
      </c>
      <c r="E252" s="415">
        <f>+F251</f>
        <v>864518</v>
      </c>
      <c r="F252" s="585">
        <f>+E252*C252</f>
        <v>1729036</v>
      </c>
      <c r="G252" s="415">
        <f>+H251</f>
        <v>149691</v>
      </c>
      <c r="H252" s="415">
        <f>+G252*C252</f>
        <v>299382</v>
      </c>
      <c r="I252" s="415">
        <f>+H252+F252</f>
        <v>2028418</v>
      </c>
      <c r="J252" s="55"/>
    </row>
    <row r="253" spans="1:13" s="468" customFormat="1">
      <c r="A253" s="568"/>
      <c r="B253" s="412" t="s">
        <v>581</v>
      </c>
      <c r="C253" s="464">
        <v>2</v>
      </c>
      <c r="D253" s="412" t="s">
        <v>297</v>
      </c>
      <c r="E253" s="586"/>
      <c r="F253" s="556"/>
      <c r="G253" s="587"/>
      <c r="H253" s="588"/>
      <c r="I253" s="589">
        <f>+I252</f>
        <v>2028418</v>
      </c>
      <c r="J253" s="467"/>
      <c r="K253" s="590"/>
      <c r="L253" s="66"/>
    </row>
  </sheetData>
  <mergeCells count="8">
    <mergeCell ref="G127:H127"/>
    <mergeCell ref="G169:H169"/>
    <mergeCell ref="A1:J1"/>
    <mergeCell ref="E6:F6"/>
    <mergeCell ref="G6:H6"/>
    <mergeCell ref="G98:H98"/>
    <mergeCell ref="G124:H124"/>
    <mergeCell ref="G126:H126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52"/>
  <sheetViews>
    <sheetView view="pageBreakPreview" topLeftCell="B7" zoomScaleNormal="100" zoomScaleSheetLayoutView="100" workbookViewId="0">
      <selection activeCell="K16" sqref="K16"/>
    </sheetView>
  </sheetViews>
  <sheetFormatPr defaultColWidth="9.140625" defaultRowHeight="18.75"/>
  <cols>
    <col min="1" max="1" width="10.42578125" style="469" customWidth="1"/>
    <col min="2" max="2" width="56.85546875" style="10" customWidth="1"/>
    <col min="3" max="3" width="8.5703125" style="10" customWidth="1"/>
    <col min="4" max="4" width="7" style="10" customWidth="1"/>
    <col min="5" max="5" width="11.7109375" style="10" customWidth="1"/>
    <col min="6" max="6" width="12.42578125" style="10" customWidth="1"/>
    <col min="7" max="8" width="11.7109375" style="10" customWidth="1"/>
    <col min="9" max="9" width="13.140625" style="10" customWidth="1"/>
    <col min="10" max="10" width="8.85546875" style="10" customWidth="1"/>
    <col min="11" max="11" width="12" style="10" customWidth="1"/>
    <col min="12" max="12" width="13.85546875" style="8" bestFit="1" customWidth="1"/>
    <col min="13" max="14" width="13.85546875" style="10" bestFit="1" customWidth="1"/>
    <col min="15" max="16384" width="9.140625" style="10"/>
  </cols>
  <sheetData>
    <row r="1" spans="1:12" s="8" customFormat="1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>
      <c r="A2" s="64" t="s">
        <v>86</v>
      </c>
      <c r="B2" s="62" t="str">
        <f>'ใบสรุปแบบ ปร.5 (ก) '!B2</f>
        <v>งานอาคาร</v>
      </c>
      <c r="C2" s="65" t="s">
        <v>14</v>
      </c>
      <c r="D2" s="62" t="str">
        <f>+'แบบ ปร.6'!B4</f>
        <v>62-2-101,63-5-006,62-4-030</v>
      </c>
      <c r="E2" s="63"/>
      <c r="F2" s="62"/>
      <c r="G2" s="62"/>
      <c r="H2" s="65"/>
      <c r="I2" s="63"/>
      <c r="J2" s="63"/>
    </row>
    <row r="3" spans="1:12" s="8" customFormat="1">
      <c r="A3" s="64" t="s">
        <v>87</v>
      </c>
      <c r="B3" s="62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E3" s="100"/>
      <c r="F3" s="62"/>
      <c r="G3" s="62"/>
      <c r="H3" s="63"/>
      <c r="I3" s="63"/>
      <c r="J3" s="62"/>
    </row>
    <row r="4" spans="1:12" s="66" customFormat="1">
      <c r="A4" s="64" t="s">
        <v>81</v>
      </c>
      <c r="B4" s="62" t="str">
        <f>+'แบบ ปร.6'!B3</f>
        <v>จ.ชลบุรี</v>
      </c>
      <c r="C4" s="62" t="s">
        <v>84</v>
      </c>
      <c r="D4" s="62"/>
      <c r="F4" s="63"/>
      <c r="G4" s="63"/>
      <c r="H4" s="63"/>
      <c r="I4" s="63"/>
      <c r="J4" s="63"/>
    </row>
    <row r="5" spans="1:12" s="66" customFormat="1" ht="19.5" thickBot="1">
      <c r="A5" s="408"/>
      <c r="B5" s="125"/>
      <c r="C5" s="125"/>
      <c r="D5" s="125"/>
      <c r="E5" s="125"/>
      <c r="F5" s="125"/>
      <c r="G5" s="125"/>
      <c r="H5" s="125"/>
      <c r="I5" s="126"/>
      <c r="J5" s="126"/>
    </row>
    <row r="6" spans="1:12" ht="19.5" thickTop="1">
      <c r="A6" s="121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</row>
    <row r="7" spans="1:12" ht="19.5" thickBot="1">
      <c r="A7" s="40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</row>
    <row r="8" spans="1:12" s="28" customFormat="1" ht="19.5" thickTop="1">
      <c r="A8" s="450"/>
      <c r="B8" s="437" t="s">
        <v>241</v>
      </c>
      <c r="C8" s="57"/>
      <c r="D8" s="57"/>
      <c r="E8" s="60"/>
      <c r="F8" s="60"/>
      <c r="G8" s="591"/>
      <c r="H8" s="85"/>
      <c r="I8" s="193"/>
      <c r="J8" s="55"/>
    </row>
    <row r="9" spans="1:12" s="28" customFormat="1">
      <c r="A9" s="56"/>
      <c r="B9" s="56" t="s">
        <v>242</v>
      </c>
      <c r="C9" s="86">
        <v>4600</v>
      </c>
      <c r="D9" s="57" t="s">
        <v>117</v>
      </c>
      <c r="E9" s="447">
        <v>0</v>
      </c>
      <c r="F9" s="447">
        <f t="shared" ref="F9" si="0">SUM(C9*E9)</f>
        <v>0</v>
      </c>
      <c r="G9" s="415">
        <v>25</v>
      </c>
      <c r="H9" s="415">
        <f>SUM(C9*G9)</f>
        <v>115000</v>
      </c>
      <c r="I9" s="81">
        <f>SUM(H9)</f>
        <v>115000</v>
      </c>
      <c r="J9" s="55"/>
    </row>
    <row r="10" spans="1:12" s="28" customFormat="1">
      <c r="A10" s="57"/>
      <c r="B10" s="443" t="s">
        <v>243</v>
      </c>
      <c r="C10" s="86">
        <v>2950</v>
      </c>
      <c r="D10" s="57" t="s">
        <v>250</v>
      </c>
      <c r="E10" s="415">
        <v>200</v>
      </c>
      <c r="F10" s="415">
        <f>SUM(C10*E10)</f>
        <v>590000</v>
      </c>
      <c r="G10" s="447">
        <v>0</v>
      </c>
      <c r="H10" s="447">
        <f>SUM(C10*G10)</f>
        <v>0</v>
      </c>
      <c r="I10" s="81">
        <f>SUM(F10+H10)</f>
        <v>590000</v>
      </c>
      <c r="J10" s="55"/>
      <c r="K10" s="592"/>
    </row>
    <row r="11" spans="1:12" s="28" customFormat="1">
      <c r="A11" s="56"/>
      <c r="B11" s="56" t="s">
        <v>666</v>
      </c>
      <c r="C11" s="86">
        <v>4600</v>
      </c>
      <c r="D11" s="57" t="s">
        <v>117</v>
      </c>
      <c r="E11" s="447">
        <v>0</v>
      </c>
      <c r="F11" s="447">
        <f t="shared" ref="F11" si="1">SUM(C11*E11)</f>
        <v>0</v>
      </c>
      <c r="G11" s="415">
        <v>20</v>
      </c>
      <c r="H11" s="415">
        <f>SUM(C11*G11)</f>
        <v>92000</v>
      </c>
      <c r="I11" s="81">
        <f>SUM(H11)</f>
        <v>92000</v>
      </c>
      <c r="J11" s="55"/>
      <c r="K11" s="602">
        <f>SUM(I9:I11)</f>
        <v>797000</v>
      </c>
    </row>
    <row r="12" spans="1:12">
      <c r="A12" s="56"/>
      <c r="B12" s="443" t="s">
        <v>695</v>
      </c>
      <c r="C12" s="86">
        <v>1758</v>
      </c>
      <c r="D12" s="57" t="s">
        <v>117</v>
      </c>
      <c r="E12" s="415">
        <v>280</v>
      </c>
      <c r="F12" s="415">
        <f>SUM(C12*E12)</f>
        <v>492240</v>
      </c>
      <c r="G12" s="593" t="s">
        <v>120</v>
      </c>
      <c r="H12" s="593"/>
      <c r="I12" s="81">
        <f>SUM(F12+H12)</f>
        <v>492240</v>
      </c>
      <c r="J12" s="55"/>
      <c r="K12" s="471">
        <f>I12/C12</f>
        <v>280</v>
      </c>
      <c r="L12" s="10">
        <f>+K12-350+30</f>
        <v>-40</v>
      </c>
    </row>
    <row r="13" spans="1:12">
      <c r="A13" s="56"/>
      <c r="B13" s="56" t="s">
        <v>244</v>
      </c>
      <c r="C13" s="86">
        <v>300</v>
      </c>
      <c r="D13" s="57" t="s">
        <v>117</v>
      </c>
      <c r="E13" s="415">
        <v>60</v>
      </c>
      <c r="F13" s="415">
        <f>SUM(C13*E13)</f>
        <v>18000</v>
      </c>
      <c r="G13" s="593" t="s">
        <v>120</v>
      </c>
      <c r="H13" s="593"/>
      <c r="I13" s="81">
        <f>SUM(F13+H13)</f>
        <v>18000</v>
      </c>
      <c r="J13" s="55"/>
      <c r="L13" s="10"/>
    </row>
    <row r="14" spans="1:12">
      <c r="A14" s="56" t="s">
        <v>9</v>
      </c>
      <c r="B14" s="56" t="s">
        <v>245</v>
      </c>
      <c r="C14" s="57">
        <v>275</v>
      </c>
      <c r="D14" s="57" t="s">
        <v>211</v>
      </c>
      <c r="E14" s="415">
        <v>180</v>
      </c>
      <c r="F14" s="415">
        <f>SUM(C14*E14)</f>
        <v>49500</v>
      </c>
      <c r="G14" s="415">
        <v>70</v>
      </c>
      <c r="H14" s="415">
        <f>SUM(C14*G14)</f>
        <v>19250</v>
      </c>
      <c r="I14" s="81">
        <f>SUM(F14+H14)</f>
        <v>68750</v>
      </c>
      <c r="J14" s="55"/>
      <c r="L14" s="10"/>
    </row>
    <row r="15" spans="1:12" ht="37.5">
      <c r="A15" s="56"/>
      <c r="B15" s="594" t="s">
        <v>711</v>
      </c>
      <c r="C15" s="595">
        <v>1</v>
      </c>
      <c r="D15" s="595" t="s">
        <v>19</v>
      </c>
      <c r="E15" s="596">
        <v>12000</v>
      </c>
      <c r="F15" s="596">
        <f t="shared" ref="F15" si="2">SUM(C15*E15)</f>
        <v>12000</v>
      </c>
      <c r="G15" s="597" t="s">
        <v>120</v>
      </c>
      <c r="H15" s="597"/>
      <c r="I15" s="597">
        <f>SUM(F15)</f>
        <v>12000</v>
      </c>
      <c r="J15" s="55"/>
      <c r="L15" s="10"/>
    </row>
    <row r="16" spans="1:12" ht="37.5">
      <c r="A16" s="57"/>
      <c r="B16" s="594" t="s">
        <v>712</v>
      </c>
      <c r="C16" s="598">
        <v>3000</v>
      </c>
      <c r="D16" s="595" t="s">
        <v>117</v>
      </c>
      <c r="E16" s="596">
        <v>55</v>
      </c>
      <c r="F16" s="596">
        <f>SUM(C16*E16)</f>
        <v>165000</v>
      </c>
      <c r="G16" s="597" t="s">
        <v>120</v>
      </c>
      <c r="H16" s="597"/>
      <c r="I16" s="597">
        <f>SUM(F16+H16)</f>
        <v>165000</v>
      </c>
      <c r="J16" s="55"/>
      <c r="K16" s="603">
        <f>SUM(I14:I16)</f>
        <v>245750</v>
      </c>
      <c r="L16" s="10"/>
    </row>
    <row r="17" spans="1:12">
      <c r="A17" s="424"/>
      <c r="B17" s="56" t="s">
        <v>9</v>
      </c>
      <c r="C17" s="57"/>
      <c r="D17" s="57"/>
      <c r="E17" s="415"/>
      <c r="F17" s="415"/>
      <c r="G17" s="593"/>
      <c r="H17" s="593"/>
      <c r="I17" s="81"/>
      <c r="J17" s="55"/>
      <c r="L17" s="10"/>
    </row>
    <row r="18" spans="1:12">
      <c r="A18" s="424"/>
      <c r="B18" s="56"/>
      <c r="C18" s="57"/>
      <c r="D18" s="57"/>
      <c r="E18" s="415"/>
      <c r="F18" s="415"/>
      <c r="G18" s="593"/>
      <c r="H18" s="593"/>
      <c r="I18" s="81"/>
      <c r="J18" s="55"/>
      <c r="L18" s="10"/>
    </row>
    <row r="19" spans="1:12">
      <c r="A19" s="424"/>
      <c r="B19" s="56"/>
      <c r="C19" s="57"/>
      <c r="D19" s="57"/>
      <c r="E19" s="415"/>
      <c r="F19" s="415"/>
      <c r="G19" s="593"/>
      <c r="H19" s="593"/>
      <c r="I19" s="81"/>
      <c r="J19" s="55"/>
      <c r="L19" s="10"/>
    </row>
    <row r="20" spans="1:12">
      <c r="A20" s="424"/>
      <c r="B20" s="56"/>
      <c r="C20" s="57"/>
      <c r="D20" s="57"/>
      <c r="E20" s="415"/>
      <c r="F20" s="415"/>
      <c r="G20" s="593"/>
      <c r="H20" s="593"/>
      <c r="I20" s="81"/>
      <c r="J20" s="55"/>
      <c r="L20" s="10"/>
    </row>
    <row r="21" spans="1:12">
      <c r="A21" s="424"/>
      <c r="B21" s="413"/>
      <c r="C21" s="599"/>
      <c r="D21" s="44"/>
      <c r="E21" s="515"/>
      <c r="F21" s="514"/>
      <c r="G21" s="600"/>
      <c r="H21" s="600"/>
      <c r="I21" s="81"/>
      <c r="J21" s="55"/>
      <c r="L21" s="10"/>
    </row>
    <row r="22" spans="1:12">
      <c r="A22" s="432"/>
      <c r="B22" s="443"/>
      <c r="C22" s="86"/>
      <c r="D22" s="57"/>
      <c r="E22" s="415"/>
      <c r="F22" s="415"/>
      <c r="G22" s="415"/>
      <c r="H22" s="415"/>
      <c r="I22" s="416"/>
      <c r="J22" s="55"/>
      <c r="L22" s="10"/>
    </row>
    <row r="23" spans="1:12">
      <c r="A23" s="432"/>
      <c r="B23" s="57" t="s">
        <v>18</v>
      </c>
      <c r="C23" s="86"/>
      <c r="D23" s="57"/>
      <c r="E23" s="81"/>
      <c r="F23" s="601">
        <f>SUM(F8:F22)</f>
        <v>1326740</v>
      </c>
      <c r="G23" s="434"/>
      <c r="H23" s="433">
        <f>SUM(H8:H22)</f>
        <v>226250</v>
      </c>
      <c r="I23" s="416"/>
      <c r="J23" s="55"/>
      <c r="K23" s="461">
        <f>+H23+F23</f>
        <v>1552990</v>
      </c>
      <c r="L23" s="10"/>
    </row>
    <row r="24" spans="1:12">
      <c r="A24" s="432"/>
      <c r="B24" s="412" t="s">
        <v>80</v>
      </c>
      <c r="C24" s="86"/>
      <c r="D24" s="57"/>
      <c r="E24" s="81"/>
      <c r="F24" s="415"/>
      <c r="G24" s="434"/>
      <c r="H24" s="435"/>
      <c r="I24" s="436">
        <f>SUM(I8:I22)</f>
        <v>1552990</v>
      </c>
      <c r="J24" s="55"/>
      <c r="L24" s="10"/>
    </row>
    <row r="25" spans="1:12">
      <c r="A25" s="10"/>
      <c r="B25" s="8"/>
      <c r="L25" s="10"/>
    </row>
    <row r="26" spans="1:12">
      <c r="A26" s="10"/>
      <c r="B26" s="8"/>
      <c r="L26" s="10"/>
    </row>
    <row r="27" spans="1:12">
      <c r="A27" s="61"/>
      <c r="B27" s="8"/>
      <c r="L27" s="10"/>
    </row>
    <row r="28" spans="1:12">
      <c r="A28" s="10"/>
      <c r="B28" s="8"/>
      <c r="L28" s="10"/>
    </row>
    <row r="29" spans="1:12" s="28" customFormat="1">
      <c r="A29" s="445"/>
      <c r="B29" s="27"/>
    </row>
    <row r="30" spans="1:12" s="28" customFormat="1">
      <c r="A30" s="445"/>
      <c r="B30" s="27"/>
    </row>
    <row r="31" spans="1:12" s="28" customFormat="1">
      <c r="A31" s="445"/>
      <c r="B31" s="27"/>
    </row>
    <row r="32" spans="1:12" s="28" customFormat="1">
      <c r="A32" s="445"/>
      <c r="B32" s="27"/>
    </row>
    <row r="33" spans="1:12" s="28" customFormat="1">
      <c r="A33" s="445"/>
      <c r="B33" s="27"/>
    </row>
    <row r="34" spans="1:12" s="28" customFormat="1">
      <c r="A34" s="445"/>
      <c r="B34" s="27"/>
    </row>
    <row r="35" spans="1:12" s="28" customFormat="1">
      <c r="A35" s="445"/>
      <c r="B35" s="27"/>
    </row>
    <row r="36" spans="1:12" s="28" customFormat="1">
      <c r="A36" s="445"/>
      <c r="B36" s="27"/>
    </row>
    <row r="37" spans="1:12" s="28" customFormat="1">
      <c r="A37" s="445"/>
      <c r="B37" s="27"/>
    </row>
    <row r="38" spans="1:12" s="28" customFormat="1">
      <c r="A38" s="445"/>
      <c r="B38" s="27"/>
    </row>
    <row r="39" spans="1:12" s="28" customFormat="1">
      <c r="A39" s="445"/>
      <c r="B39" s="27"/>
    </row>
    <row r="40" spans="1:12" s="28" customFormat="1">
      <c r="A40" s="445"/>
      <c r="B40" s="27"/>
    </row>
    <row r="41" spans="1:12" s="28" customFormat="1">
      <c r="A41" s="445"/>
      <c r="B41" s="27"/>
    </row>
    <row r="42" spans="1:12" s="28" customFormat="1">
      <c r="A42" s="445"/>
      <c r="B42" s="27"/>
    </row>
    <row r="43" spans="1:12" s="28" customFormat="1">
      <c r="A43" s="445"/>
      <c r="B43" s="27"/>
    </row>
    <row r="44" spans="1:12" s="28" customFormat="1">
      <c r="A44" s="445"/>
      <c r="B44" s="27"/>
    </row>
    <row r="45" spans="1:12" s="28" customFormat="1">
      <c r="A45" s="445"/>
      <c r="B45" s="27"/>
    </row>
    <row r="46" spans="1:12" s="28" customFormat="1">
      <c r="A46" s="445"/>
      <c r="B46" s="27"/>
    </row>
    <row r="47" spans="1:12" s="28" customFormat="1">
      <c r="A47" s="445"/>
      <c r="B47" s="27"/>
    </row>
    <row r="48" spans="1:12">
      <c r="A48" s="10"/>
      <c r="B48" s="8"/>
      <c r="L48" s="10"/>
    </row>
    <row r="49" spans="1:12">
      <c r="A49" s="61" t="e">
        <f>+#REF!+#REF!</f>
        <v>#REF!</v>
      </c>
      <c r="B49" s="8"/>
      <c r="L49" s="10"/>
    </row>
    <row r="50" spans="1:12">
      <c r="A50" s="10"/>
      <c r="B50" s="8"/>
      <c r="L50" s="10"/>
    </row>
    <row r="51" spans="1:12" ht="19.5" thickBot="1"/>
    <row r="52" spans="1:12" ht="19.5" thickBot="1">
      <c r="K52" s="470" t="e">
        <f>#REF!+#REF!+#REF!+#REF!+#REF!</f>
        <v>#REF!</v>
      </c>
      <c r="L52" s="8" t="s">
        <v>157</v>
      </c>
    </row>
  </sheetData>
  <mergeCells count="3">
    <mergeCell ref="A1:J1"/>
    <mergeCell ref="E6:F6"/>
    <mergeCell ref="G6:H6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0"/>
  <sheetViews>
    <sheetView view="pageBreakPreview" topLeftCell="A52" zoomScale="85" zoomScaleNormal="100" zoomScaleSheetLayoutView="85" workbookViewId="0">
      <selection activeCell="K70" sqref="K70"/>
    </sheetView>
  </sheetViews>
  <sheetFormatPr defaultColWidth="9.140625" defaultRowHeight="18.75"/>
  <cols>
    <col min="1" max="1" width="10.42578125" style="469" customWidth="1"/>
    <col min="2" max="2" width="56.42578125" style="10" customWidth="1"/>
    <col min="3" max="3" width="8.5703125" style="10" customWidth="1"/>
    <col min="4" max="4" width="7" style="10" customWidth="1"/>
    <col min="5" max="8" width="11.7109375" style="10" customWidth="1"/>
    <col min="9" max="9" width="13.140625" style="10" customWidth="1"/>
    <col min="10" max="10" width="8.85546875" style="10" customWidth="1"/>
    <col min="11" max="11" width="12" style="10" customWidth="1"/>
    <col min="12" max="12" width="13.85546875" style="8" bestFit="1" customWidth="1"/>
    <col min="13" max="14" width="13.85546875" style="10" bestFit="1" customWidth="1"/>
    <col min="15" max="16384" width="9.140625" style="10"/>
  </cols>
  <sheetData>
    <row r="1" spans="1:11" s="8" customFormat="1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1" s="66" customFormat="1">
      <c r="A2" s="64" t="s">
        <v>86</v>
      </c>
      <c r="B2" s="62" t="str">
        <f>'ใบสรุปแบบ ปร.5 (ก) '!B2</f>
        <v>งานอาคาร</v>
      </c>
      <c r="C2" s="65" t="s">
        <v>14</v>
      </c>
      <c r="D2" s="62" t="str">
        <f>+'แบบ ปร.6'!B4</f>
        <v>62-2-101,63-5-006,62-4-030</v>
      </c>
      <c r="E2" s="63"/>
      <c r="F2" s="62"/>
      <c r="G2" s="62"/>
      <c r="H2" s="65"/>
      <c r="I2" s="63"/>
      <c r="J2" s="63"/>
    </row>
    <row r="3" spans="1:11" s="8" customFormat="1">
      <c r="A3" s="64" t="s">
        <v>87</v>
      </c>
      <c r="B3" s="62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E3" s="100"/>
      <c r="F3" s="62"/>
      <c r="G3" s="62"/>
      <c r="H3" s="63"/>
      <c r="I3" s="63"/>
      <c r="J3" s="62"/>
    </row>
    <row r="4" spans="1:11" s="66" customFormat="1">
      <c r="A4" s="64" t="s">
        <v>81</v>
      </c>
      <c r="B4" s="62" t="str">
        <f>+'แบบ ปร.6'!B3</f>
        <v>จ.ชลบุรี</v>
      </c>
      <c r="C4" s="62" t="s">
        <v>84</v>
      </c>
      <c r="D4" s="62"/>
      <c r="F4" s="63"/>
      <c r="G4" s="63"/>
      <c r="H4" s="63"/>
      <c r="I4" s="63"/>
      <c r="J4" s="63"/>
    </row>
    <row r="5" spans="1:11" s="66" customFormat="1" ht="11.45" customHeight="1" thickBot="1">
      <c r="A5" s="408"/>
      <c r="B5" s="125"/>
      <c r="C5" s="125"/>
      <c r="D5" s="125"/>
      <c r="E5" s="125"/>
      <c r="F5" s="125"/>
      <c r="G5" s="125"/>
      <c r="H5" s="125"/>
      <c r="I5" s="126"/>
      <c r="J5" s="126"/>
    </row>
    <row r="6" spans="1:11" ht="19.5" thickTop="1">
      <c r="A6" s="121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</row>
    <row r="7" spans="1:11" ht="19.5" thickBot="1">
      <c r="A7" s="40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</row>
    <row r="8" spans="1:11" s="445" customFormat="1" ht="19.5" customHeight="1" thickTop="1">
      <c r="A8" s="450"/>
      <c r="B8" s="604" t="s">
        <v>389</v>
      </c>
      <c r="C8" s="504"/>
      <c r="D8" s="427"/>
      <c r="E8" s="505"/>
      <c r="F8" s="505"/>
      <c r="G8" s="415"/>
      <c r="H8" s="415"/>
      <c r="I8" s="416"/>
      <c r="J8" s="56"/>
      <c r="K8" s="28"/>
    </row>
    <row r="9" spans="1:11" s="445" customFormat="1" ht="19.5" customHeight="1">
      <c r="A9" s="57"/>
      <c r="B9" s="425" t="s">
        <v>390</v>
      </c>
      <c r="C9" s="504">
        <v>9</v>
      </c>
      <c r="D9" s="427" t="s">
        <v>177</v>
      </c>
      <c r="E9" s="505">
        <v>5800</v>
      </c>
      <c r="F9" s="417">
        <f t="shared" ref="F9:F14" si="0">C9*E9</f>
        <v>52200</v>
      </c>
      <c r="G9" s="600" t="s">
        <v>260</v>
      </c>
      <c r="H9" s="600" t="s">
        <v>260</v>
      </c>
      <c r="I9" s="416">
        <f t="shared" ref="I9:I21" si="1">SUM(F9)</f>
        <v>52200</v>
      </c>
      <c r="J9" s="56"/>
      <c r="K9" s="605" t="s">
        <v>391</v>
      </c>
    </row>
    <row r="10" spans="1:11" s="445" customFormat="1" ht="19.5" customHeight="1">
      <c r="A10" s="57"/>
      <c r="B10" s="425" t="s">
        <v>392</v>
      </c>
      <c r="C10" s="504">
        <v>2</v>
      </c>
      <c r="D10" s="427" t="s">
        <v>119</v>
      </c>
      <c r="E10" s="505">
        <v>2200</v>
      </c>
      <c r="F10" s="417">
        <f t="shared" si="0"/>
        <v>4400</v>
      </c>
      <c r="G10" s="600" t="s">
        <v>260</v>
      </c>
      <c r="H10" s="600" t="s">
        <v>260</v>
      </c>
      <c r="I10" s="416">
        <f t="shared" si="1"/>
        <v>4400</v>
      </c>
      <c r="J10" s="56"/>
      <c r="K10" s="606"/>
    </row>
    <row r="11" spans="1:11" s="445" customFormat="1" ht="19.5" customHeight="1">
      <c r="A11" s="57"/>
      <c r="B11" s="425" t="s">
        <v>393</v>
      </c>
      <c r="C11" s="504">
        <v>2</v>
      </c>
      <c r="D11" s="427" t="s">
        <v>119</v>
      </c>
      <c r="E11" s="505">
        <v>715</v>
      </c>
      <c r="F11" s="417">
        <f t="shared" si="0"/>
        <v>1430</v>
      </c>
      <c r="G11" s="600" t="s">
        <v>260</v>
      </c>
      <c r="H11" s="600" t="s">
        <v>260</v>
      </c>
      <c r="I11" s="416">
        <f t="shared" si="1"/>
        <v>1430</v>
      </c>
      <c r="J11" s="56"/>
      <c r="K11" s="606"/>
    </row>
    <row r="12" spans="1:11" s="445" customFormat="1" ht="19.5" customHeight="1">
      <c r="A12" s="56"/>
      <c r="B12" s="425" t="s">
        <v>394</v>
      </c>
      <c r="C12" s="504">
        <v>4</v>
      </c>
      <c r="D12" s="427" t="s">
        <v>119</v>
      </c>
      <c r="E12" s="505">
        <v>1340</v>
      </c>
      <c r="F12" s="417">
        <f t="shared" si="0"/>
        <v>5360</v>
      </c>
      <c r="G12" s="600" t="s">
        <v>260</v>
      </c>
      <c r="H12" s="600" t="s">
        <v>260</v>
      </c>
      <c r="I12" s="416">
        <f t="shared" si="1"/>
        <v>5360</v>
      </c>
      <c r="J12" s="56"/>
      <c r="K12" s="606"/>
    </row>
    <row r="13" spans="1:11" s="445" customFormat="1" ht="18" customHeight="1">
      <c r="A13" s="57"/>
      <c r="B13" s="425" t="s">
        <v>395</v>
      </c>
      <c r="C13" s="504">
        <v>16</v>
      </c>
      <c r="D13" s="427" t="s">
        <v>119</v>
      </c>
      <c r="E13" s="505">
        <v>410</v>
      </c>
      <c r="F13" s="417">
        <f t="shared" si="0"/>
        <v>6560</v>
      </c>
      <c r="G13" s="600" t="s">
        <v>260</v>
      </c>
      <c r="H13" s="600" t="s">
        <v>260</v>
      </c>
      <c r="I13" s="416">
        <f t="shared" si="1"/>
        <v>6560</v>
      </c>
      <c r="J13" s="56"/>
    </row>
    <row r="14" spans="1:11" s="445" customFormat="1" ht="19.5" customHeight="1">
      <c r="A14" s="57"/>
      <c r="B14" s="425" t="s">
        <v>396</v>
      </c>
      <c r="C14" s="504">
        <v>24</v>
      </c>
      <c r="D14" s="427" t="s">
        <v>119</v>
      </c>
      <c r="E14" s="505">
        <v>100</v>
      </c>
      <c r="F14" s="417">
        <f t="shared" si="0"/>
        <v>2400</v>
      </c>
      <c r="G14" s="600" t="s">
        <v>260</v>
      </c>
      <c r="H14" s="600" t="s">
        <v>260</v>
      </c>
      <c r="I14" s="416">
        <f t="shared" si="1"/>
        <v>2400</v>
      </c>
      <c r="J14" s="69"/>
    </row>
    <row r="15" spans="1:11" s="445" customFormat="1" ht="19.5" customHeight="1">
      <c r="A15" s="56"/>
      <c r="B15" s="425" t="s">
        <v>397</v>
      </c>
      <c r="C15" s="504">
        <v>6</v>
      </c>
      <c r="D15" s="427" t="s">
        <v>119</v>
      </c>
      <c r="E15" s="505">
        <v>255</v>
      </c>
      <c r="F15" s="417">
        <f>C15*E15</f>
        <v>1530</v>
      </c>
      <c r="G15" s="600" t="s">
        <v>260</v>
      </c>
      <c r="H15" s="600" t="s">
        <v>260</v>
      </c>
      <c r="I15" s="416">
        <f t="shared" si="1"/>
        <v>1530</v>
      </c>
      <c r="J15" s="56"/>
      <c r="K15" s="606"/>
    </row>
    <row r="16" spans="1:11" s="445" customFormat="1" ht="19.5" customHeight="1">
      <c r="A16" s="57"/>
      <c r="B16" s="425" t="s">
        <v>398</v>
      </c>
      <c r="C16" s="504">
        <v>6</v>
      </c>
      <c r="D16" s="427" t="s">
        <v>119</v>
      </c>
      <c r="E16" s="505">
        <v>320</v>
      </c>
      <c r="F16" s="417">
        <f>C16*E16</f>
        <v>1920</v>
      </c>
      <c r="G16" s="600" t="s">
        <v>260</v>
      </c>
      <c r="H16" s="600" t="s">
        <v>260</v>
      </c>
      <c r="I16" s="416">
        <f t="shared" si="1"/>
        <v>1920</v>
      </c>
      <c r="J16" s="56"/>
      <c r="K16" s="606"/>
    </row>
    <row r="17" spans="1:12" s="445" customFormat="1" ht="19.5" customHeight="1">
      <c r="A17" s="56"/>
      <c r="B17" s="425" t="s">
        <v>399</v>
      </c>
      <c r="C17" s="504">
        <v>6</v>
      </c>
      <c r="D17" s="427" t="s">
        <v>119</v>
      </c>
      <c r="E17" s="505">
        <v>5900</v>
      </c>
      <c r="F17" s="417">
        <f t="shared" ref="F17:F21" si="2">C17*E17</f>
        <v>35400</v>
      </c>
      <c r="G17" s="600" t="s">
        <v>260</v>
      </c>
      <c r="H17" s="600" t="s">
        <v>260</v>
      </c>
      <c r="I17" s="416">
        <f t="shared" si="1"/>
        <v>35400</v>
      </c>
      <c r="J17" s="56"/>
      <c r="K17" s="606"/>
    </row>
    <row r="18" spans="1:12" s="445" customFormat="1" ht="19.5" customHeight="1">
      <c r="A18" s="56"/>
      <c r="B18" s="425" t="s">
        <v>400</v>
      </c>
      <c r="C18" s="504">
        <v>6</v>
      </c>
      <c r="D18" s="427" t="s">
        <v>119</v>
      </c>
      <c r="E18" s="505">
        <v>250</v>
      </c>
      <c r="F18" s="417">
        <f t="shared" si="2"/>
        <v>1500</v>
      </c>
      <c r="G18" s="600" t="s">
        <v>260</v>
      </c>
      <c r="H18" s="600" t="s">
        <v>260</v>
      </c>
      <c r="I18" s="416">
        <f t="shared" si="1"/>
        <v>1500</v>
      </c>
      <c r="J18" s="56"/>
      <c r="K18" s="606"/>
    </row>
    <row r="19" spans="1:12" s="445" customFormat="1" ht="19.5" customHeight="1">
      <c r="A19" s="57"/>
      <c r="B19" s="425" t="s">
        <v>401</v>
      </c>
      <c r="C19" s="504">
        <v>3</v>
      </c>
      <c r="D19" s="427" t="s">
        <v>119</v>
      </c>
      <c r="E19" s="505">
        <v>4200</v>
      </c>
      <c r="F19" s="417">
        <f t="shared" si="2"/>
        <v>12600</v>
      </c>
      <c r="G19" s="600" t="s">
        <v>260</v>
      </c>
      <c r="H19" s="600" t="s">
        <v>260</v>
      </c>
      <c r="I19" s="416">
        <f t="shared" si="1"/>
        <v>12600</v>
      </c>
      <c r="J19" s="56"/>
      <c r="K19" s="606"/>
    </row>
    <row r="20" spans="1:12" s="445" customFormat="1" ht="19.5" customHeight="1">
      <c r="A20" s="57"/>
      <c r="B20" s="425" t="s">
        <v>402</v>
      </c>
      <c r="C20" s="504">
        <v>30</v>
      </c>
      <c r="D20" s="427" t="s">
        <v>119</v>
      </c>
      <c r="E20" s="505">
        <v>1280</v>
      </c>
      <c r="F20" s="417">
        <f t="shared" si="2"/>
        <v>38400</v>
      </c>
      <c r="G20" s="600" t="s">
        <v>260</v>
      </c>
      <c r="H20" s="600" t="s">
        <v>260</v>
      </c>
      <c r="I20" s="416">
        <f t="shared" si="1"/>
        <v>38400</v>
      </c>
      <c r="J20" s="56"/>
      <c r="K20" s="606"/>
    </row>
    <row r="21" spans="1:12" s="445" customFormat="1" ht="20.100000000000001" customHeight="1">
      <c r="A21" s="56"/>
      <c r="B21" s="425" t="s">
        <v>403</v>
      </c>
      <c r="C21" s="504">
        <v>48</v>
      </c>
      <c r="D21" s="427" t="s">
        <v>119</v>
      </c>
      <c r="E21" s="505">
        <v>480</v>
      </c>
      <c r="F21" s="417">
        <f t="shared" si="2"/>
        <v>23040</v>
      </c>
      <c r="G21" s="600" t="s">
        <v>260</v>
      </c>
      <c r="H21" s="600" t="s">
        <v>260</v>
      </c>
      <c r="I21" s="416">
        <f t="shared" si="1"/>
        <v>23040</v>
      </c>
      <c r="J21" s="56"/>
      <c r="K21" s="606"/>
    </row>
    <row r="22" spans="1:12" s="445" customFormat="1" ht="19.5" customHeight="1">
      <c r="A22" s="412"/>
      <c r="B22" s="607" t="s">
        <v>404</v>
      </c>
      <c r="C22" s="504"/>
      <c r="D22" s="427"/>
      <c r="E22" s="505"/>
      <c r="F22" s="417"/>
      <c r="G22" s="415"/>
      <c r="H22" s="415"/>
      <c r="I22" s="416"/>
      <c r="J22" s="56"/>
    </row>
    <row r="23" spans="1:12" s="445" customFormat="1" ht="19.5" customHeight="1">
      <c r="A23" s="56"/>
      <c r="B23" s="425" t="s">
        <v>405</v>
      </c>
      <c r="C23" s="507">
        <v>1</v>
      </c>
      <c r="D23" s="427" t="s">
        <v>119</v>
      </c>
      <c r="E23" s="484">
        <v>272000</v>
      </c>
      <c r="F23" s="505">
        <f>SUM(C23*E23)</f>
        <v>272000</v>
      </c>
      <c r="G23" s="600" t="s">
        <v>260</v>
      </c>
      <c r="H23" s="600" t="s">
        <v>260</v>
      </c>
      <c r="I23" s="416">
        <f>SUM(F23)</f>
        <v>272000</v>
      </c>
      <c r="J23" s="56"/>
    </row>
    <row r="24" spans="1:12" s="445" customFormat="1" ht="19.5" customHeight="1">
      <c r="A24" s="56"/>
      <c r="B24" s="425" t="s">
        <v>406</v>
      </c>
      <c r="C24" s="507">
        <v>1</v>
      </c>
      <c r="D24" s="427" t="s">
        <v>119</v>
      </c>
      <c r="E24" s="81">
        <v>5600</v>
      </c>
      <c r="F24" s="505">
        <f>SUM(C24*E24)</f>
        <v>5600</v>
      </c>
      <c r="G24" s="600" t="s">
        <v>260</v>
      </c>
      <c r="H24" s="600" t="s">
        <v>260</v>
      </c>
      <c r="I24" s="416">
        <f>SUM(F24)</f>
        <v>5600</v>
      </c>
      <c r="J24" s="56"/>
    </row>
    <row r="25" spans="1:12" s="445" customFormat="1" ht="19.5" customHeight="1">
      <c r="A25" s="57"/>
      <c r="B25" s="56" t="s">
        <v>407</v>
      </c>
      <c r="C25" s="608">
        <v>5</v>
      </c>
      <c r="D25" s="57" t="s">
        <v>180</v>
      </c>
      <c r="E25" s="415">
        <v>1900</v>
      </c>
      <c r="F25" s="81">
        <f t="shared" ref="F25" si="3">SUM(C25*E25)</f>
        <v>9500</v>
      </c>
      <c r="G25" s="447" t="s">
        <v>260</v>
      </c>
      <c r="H25" s="447" t="s">
        <v>260</v>
      </c>
      <c r="I25" s="416">
        <f>SUM(F25)</f>
        <v>9500</v>
      </c>
      <c r="J25" s="56"/>
    </row>
    <row r="26" spans="1:12" s="28" customFormat="1" ht="18.95" customHeight="1">
      <c r="A26" s="412"/>
      <c r="B26" s="609"/>
      <c r="C26" s="576"/>
      <c r="D26" s="576"/>
      <c r="E26" s="541"/>
      <c r="F26" s="541"/>
      <c r="G26" s="610"/>
      <c r="H26" s="610"/>
      <c r="I26" s="542"/>
      <c r="J26" s="55"/>
      <c r="L26" s="27"/>
    </row>
    <row r="27" spans="1:12" ht="19.5" customHeight="1">
      <c r="A27" s="432"/>
      <c r="B27" s="57" t="s">
        <v>18</v>
      </c>
      <c r="C27" s="86"/>
      <c r="D27" s="57"/>
      <c r="E27" s="81"/>
      <c r="F27" s="433">
        <f>SUM(F9:F26)</f>
        <v>473840</v>
      </c>
      <c r="G27" s="434"/>
      <c r="H27" s="433">
        <f>SUM(H9:H26)</f>
        <v>0</v>
      </c>
      <c r="I27" s="416"/>
      <c r="J27" s="55"/>
      <c r="K27" s="61">
        <f>+H27+F27</f>
        <v>473840</v>
      </c>
    </row>
    <row r="28" spans="1:12" ht="19.5" customHeight="1">
      <c r="A28" s="432"/>
      <c r="B28" s="412" t="s">
        <v>80</v>
      </c>
      <c r="C28" s="86"/>
      <c r="D28" s="57"/>
      <c r="E28" s="81"/>
      <c r="F28" s="415"/>
      <c r="G28" s="434"/>
      <c r="H28" s="435"/>
      <c r="I28" s="503">
        <f>SUM(I9:I27)</f>
        <v>473840</v>
      </c>
      <c r="J28" s="55"/>
      <c r="K28" s="61"/>
    </row>
    <row r="29" spans="1:12" s="445" customFormat="1" ht="19.5" customHeight="1">
      <c r="A29" s="57"/>
      <c r="B29" s="604" t="s">
        <v>389</v>
      </c>
      <c r="C29" s="504"/>
      <c r="D29" s="427"/>
      <c r="E29" s="505"/>
      <c r="F29" s="417"/>
      <c r="G29" s="600"/>
      <c r="H29" s="600"/>
      <c r="I29" s="416"/>
      <c r="J29" s="56"/>
    </row>
    <row r="30" spans="1:12" s="445" customFormat="1" ht="19.5" customHeight="1">
      <c r="A30" s="56"/>
      <c r="B30" s="425" t="s">
        <v>408</v>
      </c>
      <c r="C30" s="504">
        <v>317</v>
      </c>
      <c r="D30" s="427" t="s">
        <v>180</v>
      </c>
      <c r="E30" s="505">
        <v>22</v>
      </c>
      <c r="F30" s="417">
        <f>C30*E30</f>
        <v>6974</v>
      </c>
      <c r="G30" s="600" t="s">
        <v>260</v>
      </c>
      <c r="H30" s="600" t="s">
        <v>260</v>
      </c>
      <c r="I30" s="416">
        <f t="shared" ref="I30:I47" si="4">SUM(F30)</f>
        <v>6974</v>
      </c>
      <c r="J30" s="56"/>
    </row>
    <row r="31" spans="1:12" s="445" customFormat="1" ht="19.5" customHeight="1">
      <c r="A31" s="56"/>
      <c r="B31" s="56" t="s">
        <v>409</v>
      </c>
      <c r="C31" s="488">
        <v>8</v>
      </c>
      <c r="D31" s="489" t="s">
        <v>119</v>
      </c>
      <c r="E31" s="485">
        <v>1000</v>
      </c>
      <c r="F31" s="484">
        <f t="shared" ref="F31:F33" si="5">SUM(C31*E31)</f>
        <v>8000</v>
      </c>
      <c r="G31" s="611" t="s">
        <v>260</v>
      </c>
      <c r="H31" s="612" t="s">
        <v>260</v>
      </c>
      <c r="I31" s="486">
        <f t="shared" si="4"/>
        <v>8000</v>
      </c>
      <c r="J31" s="56"/>
      <c r="L31" s="445" t="s">
        <v>410</v>
      </c>
    </row>
    <row r="32" spans="1:12" s="445" customFormat="1" ht="19.5" customHeight="1">
      <c r="A32" s="56"/>
      <c r="B32" s="56" t="s">
        <v>411</v>
      </c>
      <c r="C32" s="488">
        <v>1</v>
      </c>
      <c r="D32" s="489" t="s">
        <v>119</v>
      </c>
      <c r="E32" s="485">
        <v>1120</v>
      </c>
      <c r="F32" s="484">
        <f t="shared" si="5"/>
        <v>1120</v>
      </c>
      <c r="G32" s="611" t="s">
        <v>260</v>
      </c>
      <c r="H32" s="612" t="s">
        <v>260</v>
      </c>
      <c r="I32" s="486">
        <f t="shared" si="4"/>
        <v>1120</v>
      </c>
      <c r="J32" s="56"/>
      <c r="L32" s="445" t="s">
        <v>412</v>
      </c>
    </row>
    <row r="33" spans="1:13" s="445" customFormat="1" ht="19.5" customHeight="1">
      <c r="A33" s="56"/>
      <c r="B33" s="56" t="s">
        <v>413</v>
      </c>
      <c r="C33" s="488">
        <v>1</v>
      </c>
      <c r="D33" s="489" t="s">
        <v>119</v>
      </c>
      <c r="E33" s="485">
        <v>1344</v>
      </c>
      <c r="F33" s="484">
        <f t="shared" si="5"/>
        <v>1344</v>
      </c>
      <c r="G33" s="611" t="s">
        <v>260</v>
      </c>
      <c r="H33" s="612" t="s">
        <v>260</v>
      </c>
      <c r="I33" s="486">
        <f t="shared" si="4"/>
        <v>1344</v>
      </c>
      <c r="J33" s="56"/>
      <c r="L33" s="445" t="s">
        <v>414</v>
      </c>
    </row>
    <row r="34" spans="1:13" s="445" customFormat="1" ht="19.5" customHeight="1">
      <c r="A34" s="56"/>
      <c r="B34" s="425" t="s">
        <v>415</v>
      </c>
      <c r="C34" s="507">
        <v>1</v>
      </c>
      <c r="D34" s="70" t="s">
        <v>119</v>
      </c>
      <c r="E34" s="81">
        <v>1500</v>
      </c>
      <c r="F34" s="505">
        <f>SUM(C34*E34)</f>
        <v>1500</v>
      </c>
      <c r="G34" s="600" t="s">
        <v>260</v>
      </c>
      <c r="H34" s="600" t="s">
        <v>260</v>
      </c>
      <c r="I34" s="416">
        <f t="shared" si="4"/>
        <v>1500</v>
      </c>
      <c r="J34" s="56"/>
    </row>
    <row r="35" spans="1:13" s="445" customFormat="1" ht="19.5" customHeight="1">
      <c r="A35" s="57"/>
      <c r="B35" s="425" t="s">
        <v>416</v>
      </c>
      <c r="C35" s="507">
        <v>3</v>
      </c>
      <c r="D35" s="70" t="s">
        <v>119</v>
      </c>
      <c r="E35" s="81">
        <v>3500</v>
      </c>
      <c r="F35" s="505">
        <f t="shared" ref="F35" si="6">SUM(C35*E35)</f>
        <v>10500</v>
      </c>
      <c r="G35" s="600" t="s">
        <v>260</v>
      </c>
      <c r="H35" s="600" t="s">
        <v>260</v>
      </c>
      <c r="I35" s="416">
        <f t="shared" si="4"/>
        <v>10500</v>
      </c>
      <c r="J35" s="56"/>
    </row>
    <row r="36" spans="1:13" s="445" customFormat="1" ht="19.5" customHeight="1">
      <c r="A36" s="56"/>
      <c r="B36" s="425" t="s">
        <v>417</v>
      </c>
      <c r="C36" s="504">
        <v>1</v>
      </c>
      <c r="D36" s="427" t="s">
        <v>119</v>
      </c>
      <c r="E36" s="505">
        <v>25000</v>
      </c>
      <c r="F36" s="417">
        <f t="shared" ref="F36:F41" si="7">C36*E36</f>
        <v>25000</v>
      </c>
      <c r="G36" s="600" t="s">
        <v>260</v>
      </c>
      <c r="H36" s="600" t="s">
        <v>260</v>
      </c>
      <c r="I36" s="416">
        <f t="shared" si="4"/>
        <v>25000</v>
      </c>
      <c r="J36" s="613"/>
      <c r="M36" s="554"/>
    </row>
    <row r="37" spans="1:13" s="445" customFormat="1" ht="19.5" customHeight="1">
      <c r="A37" s="56"/>
      <c r="B37" s="425" t="s">
        <v>418</v>
      </c>
      <c r="C37" s="504">
        <v>8</v>
      </c>
      <c r="D37" s="427" t="s">
        <v>119</v>
      </c>
      <c r="E37" s="505">
        <v>180</v>
      </c>
      <c r="F37" s="417">
        <f t="shared" si="7"/>
        <v>1440</v>
      </c>
      <c r="G37" s="600" t="s">
        <v>260</v>
      </c>
      <c r="H37" s="600" t="s">
        <v>260</v>
      </c>
      <c r="I37" s="416">
        <f t="shared" si="4"/>
        <v>1440</v>
      </c>
      <c r="J37" s="613"/>
    </row>
    <row r="38" spans="1:13" s="445" customFormat="1" ht="19.5" customHeight="1">
      <c r="A38" s="56"/>
      <c r="B38" s="425" t="s">
        <v>419</v>
      </c>
      <c r="C38" s="504">
        <v>8</v>
      </c>
      <c r="D38" s="427" t="s">
        <v>119</v>
      </c>
      <c r="E38" s="505">
        <v>30</v>
      </c>
      <c r="F38" s="417">
        <f t="shared" si="7"/>
        <v>240</v>
      </c>
      <c r="G38" s="600" t="s">
        <v>260</v>
      </c>
      <c r="H38" s="600" t="s">
        <v>260</v>
      </c>
      <c r="I38" s="416">
        <f t="shared" si="4"/>
        <v>240</v>
      </c>
      <c r="J38" s="613"/>
    </row>
    <row r="39" spans="1:13" s="445" customFormat="1" ht="19.5" customHeight="1">
      <c r="A39" s="57"/>
      <c r="B39" s="425" t="s">
        <v>420</v>
      </c>
      <c r="C39" s="504">
        <v>7</v>
      </c>
      <c r="D39" s="427" t="s">
        <v>119</v>
      </c>
      <c r="E39" s="505">
        <v>10800</v>
      </c>
      <c r="F39" s="417">
        <f t="shared" si="7"/>
        <v>75600</v>
      </c>
      <c r="G39" s="600" t="s">
        <v>260</v>
      </c>
      <c r="H39" s="600" t="s">
        <v>260</v>
      </c>
      <c r="I39" s="416">
        <f t="shared" si="4"/>
        <v>75600</v>
      </c>
      <c r="J39" s="56"/>
    </row>
    <row r="40" spans="1:13" s="445" customFormat="1" ht="19.5" customHeight="1">
      <c r="A40" s="57"/>
      <c r="B40" s="425" t="s">
        <v>421</v>
      </c>
      <c r="C40" s="504">
        <v>7</v>
      </c>
      <c r="D40" s="427" t="s">
        <v>119</v>
      </c>
      <c r="E40" s="505">
        <v>1220</v>
      </c>
      <c r="F40" s="417">
        <f t="shared" si="7"/>
        <v>8540</v>
      </c>
      <c r="G40" s="600" t="s">
        <v>260</v>
      </c>
      <c r="H40" s="600" t="s">
        <v>260</v>
      </c>
      <c r="I40" s="416">
        <f t="shared" si="4"/>
        <v>8540</v>
      </c>
      <c r="J40" s="56"/>
    </row>
    <row r="41" spans="1:13" s="445" customFormat="1" ht="19.5" customHeight="1">
      <c r="A41" s="56"/>
      <c r="B41" s="425" t="s">
        <v>422</v>
      </c>
      <c r="C41" s="504">
        <v>969</v>
      </c>
      <c r="D41" s="427" t="s">
        <v>180</v>
      </c>
      <c r="E41" s="505">
        <v>136</v>
      </c>
      <c r="F41" s="417">
        <f t="shared" si="7"/>
        <v>131784</v>
      </c>
      <c r="G41" s="600" t="s">
        <v>260</v>
      </c>
      <c r="H41" s="600" t="s">
        <v>260</v>
      </c>
      <c r="I41" s="416">
        <f t="shared" si="4"/>
        <v>131784</v>
      </c>
      <c r="J41" s="56"/>
    </row>
    <row r="42" spans="1:13" s="445" customFormat="1" ht="19.5" customHeight="1">
      <c r="A42" s="57"/>
      <c r="B42" s="425" t="s">
        <v>423</v>
      </c>
      <c r="C42" s="504">
        <v>536</v>
      </c>
      <c r="D42" s="427" t="s">
        <v>180</v>
      </c>
      <c r="E42" s="485">
        <v>35</v>
      </c>
      <c r="F42" s="415">
        <f t="shared" ref="F42:F47" si="8">SUM(C42*E42)</f>
        <v>18760</v>
      </c>
      <c r="G42" s="447" t="s">
        <v>260</v>
      </c>
      <c r="H42" s="447" t="s">
        <v>260</v>
      </c>
      <c r="I42" s="416">
        <f t="shared" si="4"/>
        <v>18760</v>
      </c>
      <c r="J42" s="56"/>
    </row>
    <row r="43" spans="1:13" s="445" customFormat="1" ht="19.5" customHeight="1">
      <c r="A43" s="57"/>
      <c r="B43" s="425" t="s">
        <v>424</v>
      </c>
      <c r="C43" s="504">
        <v>34</v>
      </c>
      <c r="D43" s="427" t="s">
        <v>180</v>
      </c>
      <c r="E43" s="485">
        <v>55</v>
      </c>
      <c r="F43" s="415">
        <f t="shared" si="8"/>
        <v>1870</v>
      </c>
      <c r="G43" s="447" t="s">
        <v>260</v>
      </c>
      <c r="H43" s="447" t="s">
        <v>260</v>
      </c>
      <c r="I43" s="416">
        <f t="shared" si="4"/>
        <v>1870</v>
      </c>
      <c r="J43" s="56"/>
    </row>
    <row r="44" spans="1:13" s="445" customFormat="1" ht="19.5" customHeight="1">
      <c r="A44" s="57"/>
      <c r="B44" s="425" t="s">
        <v>425</v>
      </c>
      <c r="C44" s="504">
        <v>92</v>
      </c>
      <c r="D44" s="427" t="s">
        <v>180</v>
      </c>
      <c r="E44" s="485">
        <v>409</v>
      </c>
      <c r="F44" s="415">
        <f t="shared" si="8"/>
        <v>37628</v>
      </c>
      <c r="G44" s="447" t="s">
        <v>260</v>
      </c>
      <c r="H44" s="447" t="s">
        <v>260</v>
      </c>
      <c r="I44" s="416">
        <f t="shared" si="4"/>
        <v>37628</v>
      </c>
      <c r="J44" s="56"/>
    </row>
    <row r="45" spans="1:13" s="445" customFormat="1" ht="19.5" customHeight="1">
      <c r="A45" s="57"/>
      <c r="B45" s="425" t="s">
        <v>426</v>
      </c>
      <c r="C45" s="504">
        <v>450</v>
      </c>
      <c r="D45" s="427" t="s">
        <v>180</v>
      </c>
      <c r="E45" s="485">
        <v>537</v>
      </c>
      <c r="F45" s="415">
        <f t="shared" si="8"/>
        <v>241650</v>
      </c>
      <c r="G45" s="447" t="s">
        <v>260</v>
      </c>
      <c r="H45" s="447" t="s">
        <v>260</v>
      </c>
      <c r="I45" s="416">
        <f t="shared" si="4"/>
        <v>241650</v>
      </c>
      <c r="J45" s="56"/>
    </row>
    <row r="46" spans="1:13" s="445" customFormat="1" ht="19.5" customHeight="1">
      <c r="A46" s="57"/>
      <c r="B46" s="425" t="s">
        <v>427</v>
      </c>
      <c r="C46" s="537">
        <v>2</v>
      </c>
      <c r="D46" s="427" t="s">
        <v>118</v>
      </c>
      <c r="E46" s="485">
        <v>216</v>
      </c>
      <c r="F46" s="415">
        <f t="shared" si="8"/>
        <v>432</v>
      </c>
      <c r="G46" s="447" t="s">
        <v>260</v>
      </c>
      <c r="H46" s="447" t="s">
        <v>260</v>
      </c>
      <c r="I46" s="416">
        <f t="shared" si="4"/>
        <v>432</v>
      </c>
      <c r="J46" s="56"/>
    </row>
    <row r="47" spans="1:13" s="445" customFormat="1" ht="19.5" customHeight="1">
      <c r="A47" s="57"/>
      <c r="B47" s="425" t="s">
        <v>428</v>
      </c>
      <c r="C47" s="537">
        <v>4</v>
      </c>
      <c r="D47" s="427" t="s">
        <v>118</v>
      </c>
      <c r="E47" s="485">
        <v>1846</v>
      </c>
      <c r="F47" s="415">
        <f t="shared" si="8"/>
        <v>7384</v>
      </c>
      <c r="G47" s="447" t="s">
        <v>260</v>
      </c>
      <c r="H47" s="447" t="s">
        <v>260</v>
      </c>
      <c r="I47" s="416">
        <f t="shared" si="4"/>
        <v>7384</v>
      </c>
      <c r="J47" s="56"/>
    </row>
    <row r="48" spans="1:13" ht="19.5" customHeight="1">
      <c r="A48" s="432"/>
      <c r="B48" s="57" t="s">
        <v>18</v>
      </c>
      <c r="C48" s="86"/>
      <c r="D48" s="57"/>
      <c r="E48" s="81"/>
      <c r="F48" s="433">
        <f>SUM(F30:F47)</f>
        <v>579766</v>
      </c>
      <c r="G48" s="434"/>
      <c r="H48" s="433">
        <f>SUM(H30:H47)</f>
        <v>0</v>
      </c>
      <c r="I48" s="416"/>
      <c r="J48" s="55"/>
      <c r="K48" s="61">
        <f>+H48+F48</f>
        <v>579766</v>
      </c>
    </row>
    <row r="49" spans="1:12" ht="19.5" customHeight="1">
      <c r="A49" s="432"/>
      <c r="B49" s="412" t="s">
        <v>80</v>
      </c>
      <c r="C49" s="86"/>
      <c r="D49" s="57"/>
      <c r="E49" s="81"/>
      <c r="F49" s="415"/>
      <c r="G49" s="434"/>
      <c r="H49" s="435"/>
      <c r="I49" s="503">
        <f>SUM(I30:I48)</f>
        <v>579766</v>
      </c>
      <c r="J49" s="55"/>
      <c r="K49" s="61"/>
    </row>
    <row r="50" spans="1:12" s="445" customFormat="1" ht="19.5" customHeight="1">
      <c r="A50" s="57"/>
      <c r="B50" s="604" t="s">
        <v>429</v>
      </c>
      <c r="C50" s="504"/>
      <c r="D50" s="427"/>
      <c r="E50" s="505"/>
      <c r="F50" s="417"/>
      <c r="G50" s="600"/>
      <c r="H50" s="600"/>
      <c r="I50" s="416"/>
      <c r="J50" s="56"/>
    </row>
    <row r="51" spans="1:12" ht="19.5" customHeight="1">
      <c r="A51" s="412"/>
      <c r="B51" s="425" t="s">
        <v>430</v>
      </c>
      <c r="C51" s="504">
        <v>110</v>
      </c>
      <c r="D51" s="427" t="s">
        <v>180</v>
      </c>
      <c r="E51" s="505">
        <v>318</v>
      </c>
      <c r="F51" s="417">
        <f t="shared" ref="F51:F54" si="9">C51*E51</f>
        <v>34980</v>
      </c>
      <c r="G51" s="600" t="s">
        <v>260</v>
      </c>
      <c r="H51" s="600" t="s">
        <v>260</v>
      </c>
      <c r="I51" s="416">
        <f t="shared" ref="I51:I56" si="10">SUM(F51)</f>
        <v>34980</v>
      </c>
      <c r="J51" s="55"/>
      <c r="K51" s="61"/>
    </row>
    <row r="52" spans="1:12" s="445" customFormat="1" ht="19.5" customHeight="1">
      <c r="A52" s="57"/>
      <c r="B52" s="425" t="s">
        <v>431</v>
      </c>
      <c r="C52" s="504">
        <v>12</v>
      </c>
      <c r="D52" s="427" t="s">
        <v>119</v>
      </c>
      <c r="E52" s="505">
        <v>166</v>
      </c>
      <c r="F52" s="417">
        <f t="shared" si="9"/>
        <v>1992</v>
      </c>
      <c r="G52" s="600" t="s">
        <v>260</v>
      </c>
      <c r="H52" s="600" t="s">
        <v>260</v>
      </c>
      <c r="I52" s="416">
        <f t="shared" si="10"/>
        <v>1992</v>
      </c>
      <c r="J52" s="56"/>
    </row>
    <row r="53" spans="1:12" s="445" customFormat="1" ht="19.5" customHeight="1">
      <c r="A53" s="56"/>
      <c r="B53" s="609" t="s">
        <v>436</v>
      </c>
      <c r="C53" s="614">
        <v>1</v>
      </c>
      <c r="D53" s="615" t="s">
        <v>119</v>
      </c>
      <c r="E53" s="573">
        <v>45</v>
      </c>
      <c r="F53" s="541">
        <f t="shared" si="9"/>
        <v>45</v>
      </c>
      <c r="G53" s="510" t="s">
        <v>260</v>
      </c>
      <c r="H53" s="510" t="s">
        <v>260</v>
      </c>
      <c r="I53" s="486">
        <f t="shared" si="10"/>
        <v>45</v>
      </c>
      <c r="J53" s="56"/>
    </row>
    <row r="54" spans="1:12" s="445" customFormat="1" ht="19.5" customHeight="1">
      <c r="A54" s="56"/>
      <c r="B54" s="609" t="s">
        <v>437</v>
      </c>
      <c r="C54" s="614">
        <v>2</v>
      </c>
      <c r="D54" s="615" t="s">
        <v>119</v>
      </c>
      <c r="E54" s="573">
        <v>440</v>
      </c>
      <c r="F54" s="541">
        <f t="shared" si="9"/>
        <v>880</v>
      </c>
      <c r="G54" s="510" t="s">
        <v>260</v>
      </c>
      <c r="H54" s="510" t="s">
        <v>260</v>
      </c>
      <c r="I54" s="486">
        <f t="shared" si="10"/>
        <v>880</v>
      </c>
      <c r="J54" s="56"/>
    </row>
    <row r="55" spans="1:12" ht="19.5" customHeight="1">
      <c r="A55" s="412"/>
      <c r="B55" s="616" t="s">
        <v>432</v>
      </c>
      <c r="C55" s="617">
        <v>3</v>
      </c>
      <c r="D55" s="489" t="s">
        <v>119</v>
      </c>
      <c r="E55" s="484">
        <v>6000</v>
      </c>
      <c r="F55" s="484">
        <f>SUM(C55*E55)</f>
        <v>18000</v>
      </c>
      <c r="G55" s="643" t="s">
        <v>360</v>
      </c>
      <c r="H55" s="644"/>
      <c r="I55" s="484">
        <f t="shared" si="10"/>
        <v>18000</v>
      </c>
      <c r="J55" s="55"/>
    </row>
    <row r="56" spans="1:12" s="445" customFormat="1" ht="19.5" customHeight="1">
      <c r="A56" s="57"/>
      <c r="B56" s="56" t="s">
        <v>347</v>
      </c>
      <c r="C56" s="537">
        <v>1</v>
      </c>
      <c r="D56" s="618" t="s">
        <v>19</v>
      </c>
      <c r="E56" s="415">
        <v>50000</v>
      </c>
      <c r="F56" s="81">
        <f>SUM(C56*E56)</f>
        <v>50000</v>
      </c>
      <c r="G56" s="619" t="s">
        <v>260</v>
      </c>
      <c r="H56" s="620" t="s">
        <v>260</v>
      </c>
      <c r="I56" s="416">
        <f t="shared" si="10"/>
        <v>50000</v>
      </c>
      <c r="J56" s="56"/>
      <c r="L56" s="445" t="s">
        <v>433</v>
      </c>
    </row>
    <row r="57" spans="1:12" s="445" customFormat="1" ht="19.5" customHeight="1">
      <c r="A57" s="57"/>
      <c r="B57" s="458" t="s">
        <v>434</v>
      </c>
      <c r="C57" s="537">
        <v>1</v>
      </c>
      <c r="D57" s="57" t="s">
        <v>19</v>
      </c>
      <c r="E57" s="447" t="s">
        <v>260</v>
      </c>
      <c r="F57" s="447" t="s">
        <v>260</v>
      </c>
      <c r="G57" s="415">
        <v>80000</v>
      </c>
      <c r="H57" s="417">
        <f>SUM(G57*C57)</f>
        <v>80000</v>
      </c>
      <c r="I57" s="416">
        <f>SUM(H57)</f>
        <v>80000</v>
      </c>
      <c r="J57" s="56"/>
      <c r="L57" s="445" t="s">
        <v>435</v>
      </c>
    </row>
    <row r="58" spans="1:12" s="445" customFormat="1" ht="19.5" customHeight="1">
      <c r="A58" s="57"/>
      <c r="B58" s="458"/>
      <c r="C58" s="537"/>
      <c r="D58" s="57"/>
      <c r="E58" s="447"/>
      <c r="F58" s="447"/>
      <c r="G58" s="415"/>
      <c r="H58" s="417"/>
      <c r="I58" s="416"/>
      <c r="J58" s="56"/>
    </row>
    <row r="59" spans="1:12" s="445" customFormat="1" ht="19.5" customHeight="1">
      <c r="A59" s="57"/>
      <c r="B59" s="458"/>
      <c r="C59" s="537"/>
      <c r="D59" s="57"/>
      <c r="E59" s="447"/>
      <c r="F59" s="447"/>
      <c r="G59" s="415"/>
      <c r="H59" s="417"/>
      <c r="I59" s="416"/>
      <c r="J59" s="56"/>
    </row>
    <row r="60" spans="1:12" s="445" customFormat="1" ht="19.5" customHeight="1">
      <c r="A60" s="57"/>
      <c r="B60" s="458"/>
      <c r="C60" s="537"/>
      <c r="D60" s="70"/>
      <c r="E60" s="447"/>
      <c r="F60" s="447"/>
      <c r="G60" s="415"/>
      <c r="H60" s="417"/>
      <c r="I60" s="416"/>
      <c r="J60" s="56"/>
    </row>
    <row r="61" spans="1:12" s="445" customFormat="1" ht="19.5" customHeight="1">
      <c r="A61" s="57"/>
      <c r="B61" s="425"/>
      <c r="C61" s="504"/>
      <c r="D61" s="427"/>
      <c r="E61" s="505"/>
      <c r="F61" s="417"/>
      <c r="G61" s="600"/>
      <c r="H61" s="600"/>
      <c r="I61" s="416"/>
      <c r="J61" s="56"/>
    </row>
    <row r="62" spans="1:12" s="28" customFormat="1" ht="19.5" customHeight="1">
      <c r="A62" s="412"/>
      <c r="B62" s="56"/>
      <c r="C62" s="86"/>
      <c r="D62" s="57"/>
      <c r="E62" s="81"/>
      <c r="F62" s="415"/>
      <c r="G62" s="415"/>
      <c r="H62" s="417"/>
      <c r="I62" s="416"/>
      <c r="J62" s="55"/>
      <c r="L62" s="27"/>
    </row>
    <row r="63" spans="1:12" s="28" customFormat="1" ht="19.5" customHeight="1">
      <c r="A63" s="412"/>
      <c r="B63" s="56"/>
      <c r="C63" s="86"/>
      <c r="D63" s="57"/>
      <c r="E63" s="81"/>
      <c r="F63" s="415"/>
      <c r="G63" s="415"/>
      <c r="H63" s="417"/>
      <c r="I63" s="416"/>
      <c r="J63" s="55"/>
      <c r="L63" s="27"/>
    </row>
    <row r="64" spans="1:12" s="28" customFormat="1" ht="19.5" customHeight="1">
      <c r="A64" s="412"/>
      <c r="B64" s="56"/>
      <c r="C64" s="86"/>
      <c r="D64" s="57"/>
      <c r="E64" s="81"/>
      <c r="F64" s="415"/>
      <c r="G64" s="415"/>
      <c r="H64" s="417"/>
      <c r="I64" s="416"/>
      <c r="J64" s="55"/>
      <c r="L64" s="27"/>
    </row>
    <row r="65" spans="1:14" ht="19.5" customHeight="1">
      <c r="A65" s="412"/>
      <c r="B65" s="56"/>
      <c r="C65" s="86"/>
      <c r="D65" s="57"/>
      <c r="E65" s="81"/>
      <c r="F65" s="415"/>
      <c r="G65" s="415"/>
      <c r="H65" s="417"/>
      <c r="I65" s="416"/>
      <c r="J65" s="55"/>
    </row>
    <row r="66" spans="1:14" ht="19.5" customHeight="1">
      <c r="A66" s="412"/>
      <c r="B66" s="56"/>
      <c r="C66" s="86"/>
      <c r="D66" s="57"/>
      <c r="E66" s="81"/>
      <c r="F66" s="415"/>
      <c r="G66" s="415"/>
      <c r="H66" s="417"/>
      <c r="I66" s="416"/>
      <c r="J66" s="55"/>
    </row>
    <row r="67" spans="1:14" ht="19.5" customHeight="1">
      <c r="A67" s="412"/>
      <c r="B67" s="56"/>
      <c r="C67" s="86"/>
      <c r="D67" s="57"/>
      <c r="E67" s="81"/>
      <c r="F67" s="415"/>
      <c r="G67" s="415"/>
      <c r="H67" s="417"/>
      <c r="I67" s="416"/>
      <c r="J67" s="55"/>
      <c r="K67" s="61"/>
    </row>
    <row r="68" spans="1:14" ht="19.5" customHeight="1">
      <c r="A68" s="432"/>
      <c r="B68" s="56"/>
      <c r="C68" s="86"/>
      <c r="D68" s="57"/>
      <c r="E68" s="81"/>
      <c r="F68" s="415"/>
      <c r="G68" s="415"/>
      <c r="H68" s="417"/>
      <c r="I68" s="416"/>
      <c r="J68" s="55"/>
      <c r="K68" s="61"/>
    </row>
    <row r="69" spans="1:14" ht="19.5" customHeight="1">
      <c r="A69" s="432"/>
      <c r="B69" s="57" t="s">
        <v>18</v>
      </c>
      <c r="C69" s="86"/>
      <c r="D69" s="57"/>
      <c r="E69" s="81"/>
      <c r="F69" s="433">
        <f>SUM(F51:F68)</f>
        <v>105897</v>
      </c>
      <c r="G69" s="434"/>
      <c r="H69" s="433">
        <f>SUM(H51:H68)</f>
        <v>80000</v>
      </c>
      <c r="I69" s="416"/>
      <c r="J69" s="55"/>
      <c r="K69" s="61">
        <f>+H69+F69</f>
        <v>185897</v>
      </c>
    </row>
    <row r="70" spans="1:14" ht="19.5" customHeight="1">
      <c r="A70" s="432"/>
      <c r="B70" s="412" t="s">
        <v>80</v>
      </c>
      <c r="C70" s="86"/>
      <c r="D70" s="57"/>
      <c r="E70" s="81"/>
      <c r="F70" s="415"/>
      <c r="G70" s="434"/>
      <c r="H70" s="435"/>
      <c r="I70" s="503">
        <f>SUM(I51:I69)</f>
        <v>185897</v>
      </c>
      <c r="J70" s="55"/>
      <c r="K70" s="61">
        <f>+I70+I49+I28</f>
        <v>1239503</v>
      </c>
      <c r="M70" s="468" t="s">
        <v>349</v>
      </c>
      <c r="N70" s="61">
        <f>SUM(K27+K48+K69)</f>
        <v>1239503</v>
      </c>
    </row>
  </sheetData>
  <mergeCells count="4">
    <mergeCell ref="A1:J1"/>
    <mergeCell ref="E6:F6"/>
    <mergeCell ref="G6:H6"/>
    <mergeCell ref="G55:H55"/>
  </mergeCells>
  <conditionalFormatting sqref="E37:I38 E61:I61">
    <cfRule type="cellIs" dxfId="12" priority="2" operator="lessThan">
      <formula>1</formula>
    </cfRule>
  </conditionalFormatting>
  <conditionalFormatting sqref="I13">
    <cfRule type="cellIs" dxfId="11" priority="6" operator="lessThan">
      <formula>1</formula>
    </cfRule>
  </conditionalFormatting>
  <conditionalFormatting sqref="I36">
    <cfRule type="cellIs" dxfId="10" priority="5" operator="lessThan">
      <formula>1</formula>
    </cfRule>
  </conditionalFormatting>
  <conditionalFormatting sqref="F36:H36">
    <cfRule type="cellIs" dxfId="9" priority="4" operator="lessThan">
      <formula>1</formula>
    </cfRule>
  </conditionalFormatting>
  <conditionalFormatting sqref="E36">
    <cfRule type="cellIs" dxfId="8" priority="3" operator="lessThan">
      <formula>1</formula>
    </cfRule>
  </conditionalFormatting>
  <conditionalFormatting sqref="C13:E14">
    <cfRule type="cellIs" dxfId="7" priority="12" operator="lessThan">
      <formula>1</formula>
    </cfRule>
  </conditionalFormatting>
  <conditionalFormatting sqref="G13:H14">
    <cfRule type="cellIs" dxfId="6" priority="13" operator="lessThan">
      <formula>1</formula>
    </cfRule>
  </conditionalFormatting>
  <conditionalFormatting sqref="C14:I14">
    <cfRule type="cellIs" dxfId="5" priority="11" operator="lessThan">
      <formula>1</formula>
    </cfRule>
  </conditionalFormatting>
  <conditionalFormatting sqref="E13">
    <cfRule type="cellIs" dxfId="4" priority="9" operator="lessThan">
      <formula>1</formula>
    </cfRule>
  </conditionalFormatting>
  <conditionalFormatting sqref="G13">
    <cfRule type="cellIs" dxfId="3" priority="8" operator="lessThan">
      <formula>1</formula>
    </cfRule>
  </conditionalFormatting>
  <conditionalFormatting sqref="F13">
    <cfRule type="cellIs" dxfId="2" priority="10" operator="lessThan">
      <formula>1</formula>
    </cfRule>
  </conditionalFormatting>
  <conditionalFormatting sqref="H13">
    <cfRule type="cellIs" dxfId="1" priority="7" operator="lessThan">
      <formula>1</formula>
    </cfRule>
  </conditionalFormatting>
  <conditionalFormatting sqref="E39:I40">
    <cfRule type="cellIs" dxfId="0" priority="1" operator="lessThan">
      <formula>1</formula>
    </cfRule>
  </conditionalFormatting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04"/>
  <sheetViews>
    <sheetView view="pageBreakPreview" topLeftCell="A84" zoomScale="85" zoomScaleNormal="100" zoomScaleSheetLayoutView="85" workbookViewId="0">
      <selection activeCell="I102" sqref="I102"/>
    </sheetView>
  </sheetViews>
  <sheetFormatPr defaultColWidth="9.140625" defaultRowHeight="18.75"/>
  <cols>
    <col min="1" max="1" width="10.42578125" style="469" customWidth="1"/>
    <col min="2" max="2" width="56.7109375" style="10" customWidth="1"/>
    <col min="3" max="3" width="8.5703125" style="10" customWidth="1"/>
    <col min="4" max="4" width="7" style="10" customWidth="1"/>
    <col min="5" max="8" width="11.7109375" style="10" customWidth="1"/>
    <col min="9" max="9" width="13.140625" style="10" customWidth="1"/>
    <col min="10" max="10" width="8.85546875" style="10" customWidth="1"/>
    <col min="11" max="11" width="18.140625" style="10" bestFit="1" customWidth="1"/>
    <col min="12" max="12" width="13.85546875" style="8" bestFit="1" customWidth="1"/>
    <col min="13" max="14" width="13.85546875" style="10" bestFit="1" customWidth="1"/>
    <col min="15" max="16384" width="9.140625" style="10"/>
  </cols>
  <sheetData>
    <row r="1" spans="1:12" s="8" customFormat="1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>
      <c r="A2" s="64" t="s">
        <v>86</v>
      </c>
      <c r="B2" s="62" t="str">
        <f>'ใบสรุปแบบ ปร.5 (ก) '!B2</f>
        <v>งานอาคาร</v>
      </c>
      <c r="C2" s="65" t="s">
        <v>14</v>
      </c>
      <c r="D2" s="62" t="str">
        <f>+'แบบ ปร.6'!B4</f>
        <v>62-2-101,63-5-006,62-4-030</v>
      </c>
      <c r="E2" s="63"/>
      <c r="F2" s="62"/>
      <c r="G2" s="62"/>
      <c r="H2" s="65"/>
      <c r="I2" s="63"/>
      <c r="J2" s="63"/>
    </row>
    <row r="3" spans="1:12" s="8" customFormat="1">
      <c r="A3" s="64" t="s">
        <v>87</v>
      </c>
      <c r="B3" s="62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E3" s="100"/>
      <c r="F3" s="62"/>
      <c r="G3" s="62"/>
      <c r="H3" s="63"/>
      <c r="I3" s="63"/>
      <c r="J3" s="62"/>
    </row>
    <row r="4" spans="1:12" s="66" customFormat="1">
      <c r="A4" s="64" t="s">
        <v>81</v>
      </c>
      <c r="B4" s="62" t="str">
        <f>+'แบบ ปร.6'!B3</f>
        <v>จ.ชลบุรี</v>
      </c>
      <c r="C4" s="62" t="s">
        <v>84</v>
      </c>
      <c r="D4" s="62"/>
      <c r="F4" s="63"/>
      <c r="G4" s="63"/>
      <c r="H4" s="63"/>
      <c r="I4" s="63"/>
      <c r="J4" s="63"/>
    </row>
    <row r="5" spans="1:12" s="66" customFormat="1" ht="19.5" thickBot="1">
      <c r="A5" s="408"/>
      <c r="B5" s="125"/>
      <c r="C5" s="125"/>
      <c r="D5" s="125"/>
      <c r="E5" s="125"/>
      <c r="F5" s="125"/>
      <c r="G5" s="125"/>
      <c r="H5" s="125"/>
      <c r="I5" s="126"/>
      <c r="J5" s="126"/>
    </row>
    <row r="6" spans="1:12" ht="19.5" thickTop="1">
      <c r="A6" s="121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</row>
    <row r="7" spans="1:12" ht="19.5" thickBot="1">
      <c r="A7" s="40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K7" s="61"/>
    </row>
    <row r="8" spans="1:12" ht="19.5" thickTop="1">
      <c r="A8" s="450"/>
      <c r="B8" s="411" t="s">
        <v>156</v>
      </c>
      <c r="C8" s="68"/>
      <c r="D8" s="69"/>
      <c r="E8" s="566"/>
      <c r="F8" s="566"/>
      <c r="G8" s="566"/>
      <c r="H8" s="567"/>
      <c r="I8" s="567"/>
      <c r="J8" s="69"/>
    </row>
    <row r="9" spans="1:12">
      <c r="A9" s="412"/>
      <c r="B9" s="522" t="s">
        <v>485</v>
      </c>
      <c r="C9" s="190"/>
      <c r="D9" s="190"/>
      <c r="E9" s="423"/>
      <c r="F9" s="423"/>
      <c r="G9" s="423"/>
      <c r="H9" s="423"/>
      <c r="I9" s="420"/>
      <c r="J9" s="55"/>
    </row>
    <row r="10" spans="1:12" s="28" customFormat="1">
      <c r="A10" s="412"/>
      <c r="B10" s="55" t="s">
        <v>486</v>
      </c>
      <c r="C10" s="190">
        <v>45</v>
      </c>
      <c r="D10" s="190" t="s">
        <v>180</v>
      </c>
      <c r="E10" s="423">
        <v>86</v>
      </c>
      <c r="F10" s="423">
        <f>SUM(E10*C10)</f>
        <v>3870</v>
      </c>
      <c r="G10" s="423">
        <v>75</v>
      </c>
      <c r="H10" s="423">
        <f>SUM(G10*C10)</f>
        <v>3375</v>
      </c>
      <c r="I10" s="420">
        <f>SUM(H10+F10)</f>
        <v>7245</v>
      </c>
      <c r="J10" s="55"/>
      <c r="L10" s="27"/>
    </row>
    <row r="11" spans="1:12" s="28" customFormat="1">
      <c r="A11" s="412"/>
      <c r="B11" s="55" t="s">
        <v>582</v>
      </c>
      <c r="C11" s="190">
        <v>175</v>
      </c>
      <c r="D11" s="190" t="s">
        <v>180</v>
      </c>
      <c r="E11" s="423">
        <v>248</v>
      </c>
      <c r="F11" s="423">
        <f>SUM(E11*C11)</f>
        <v>43400</v>
      </c>
      <c r="G11" s="423">
        <v>150</v>
      </c>
      <c r="H11" s="423">
        <f>SUM(G11*C11)</f>
        <v>26250</v>
      </c>
      <c r="I11" s="420">
        <f>SUM(H11+F11)</f>
        <v>69650</v>
      </c>
      <c r="J11" s="55"/>
      <c r="L11" s="27"/>
    </row>
    <row r="12" spans="1:12" s="28" customFormat="1">
      <c r="A12" s="412"/>
      <c r="B12" s="522" t="s">
        <v>488</v>
      </c>
      <c r="C12" s="55"/>
      <c r="D12" s="55"/>
      <c r="E12" s="519"/>
      <c r="F12" s="519"/>
      <c r="G12" s="519"/>
      <c r="H12" s="519"/>
      <c r="I12" s="519"/>
      <c r="J12" s="55"/>
      <c r="L12" s="27"/>
    </row>
    <row r="13" spans="1:12" s="28" customFormat="1">
      <c r="A13" s="412"/>
      <c r="B13" s="55" t="s">
        <v>489</v>
      </c>
      <c r="C13" s="190">
        <v>6</v>
      </c>
      <c r="D13" s="190" t="s">
        <v>449</v>
      </c>
      <c r="E13" s="423">
        <v>320</v>
      </c>
      <c r="F13" s="423">
        <f t="shared" ref="F13:F19" si="0">SUM(C13*E13)</f>
        <v>1920</v>
      </c>
      <c r="G13" s="207" t="s">
        <v>260</v>
      </c>
      <c r="H13" s="207" t="s">
        <v>260</v>
      </c>
      <c r="I13" s="420">
        <f t="shared" ref="I13:I19" si="1">SUM(F13)</f>
        <v>1920</v>
      </c>
      <c r="J13" s="55"/>
      <c r="L13" s="27"/>
    </row>
    <row r="14" spans="1:12" s="28" customFormat="1">
      <c r="A14" s="412"/>
      <c r="B14" s="55" t="s">
        <v>583</v>
      </c>
      <c r="C14" s="190">
        <v>11</v>
      </c>
      <c r="D14" s="190" t="s">
        <v>449</v>
      </c>
      <c r="E14" s="423">
        <v>1000</v>
      </c>
      <c r="F14" s="423">
        <f t="shared" si="0"/>
        <v>11000</v>
      </c>
      <c r="G14" s="207" t="s">
        <v>260</v>
      </c>
      <c r="H14" s="207" t="s">
        <v>260</v>
      </c>
      <c r="I14" s="420">
        <f t="shared" si="1"/>
        <v>11000</v>
      </c>
      <c r="J14" s="55"/>
      <c r="L14" s="27"/>
    </row>
    <row r="15" spans="1:12" s="28" customFormat="1">
      <c r="A15" s="412"/>
      <c r="B15" s="55" t="s">
        <v>584</v>
      </c>
      <c r="C15" s="190">
        <v>4</v>
      </c>
      <c r="D15" s="190" t="s">
        <v>449</v>
      </c>
      <c r="E15" s="423">
        <v>400</v>
      </c>
      <c r="F15" s="423">
        <f t="shared" si="0"/>
        <v>1600</v>
      </c>
      <c r="G15" s="207" t="s">
        <v>260</v>
      </c>
      <c r="H15" s="207" t="s">
        <v>260</v>
      </c>
      <c r="I15" s="420">
        <f t="shared" si="1"/>
        <v>1600</v>
      </c>
      <c r="J15" s="55"/>
      <c r="L15" s="27"/>
    </row>
    <row r="16" spans="1:12" s="28" customFormat="1">
      <c r="A16" s="412"/>
      <c r="B16" s="55" t="s">
        <v>490</v>
      </c>
      <c r="C16" s="190">
        <v>2</v>
      </c>
      <c r="D16" s="190" t="s">
        <v>449</v>
      </c>
      <c r="E16" s="423">
        <v>550</v>
      </c>
      <c r="F16" s="423">
        <f t="shared" si="0"/>
        <v>1100</v>
      </c>
      <c r="G16" s="207" t="s">
        <v>260</v>
      </c>
      <c r="H16" s="207" t="s">
        <v>260</v>
      </c>
      <c r="I16" s="420">
        <f t="shared" si="1"/>
        <v>1100</v>
      </c>
      <c r="J16" s="55"/>
      <c r="L16" s="27"/>
    </row>
    <row r="17" spans="1:12" s="28" customFormat="1">
      <c r="A17" s="412"/>
      <c r="B17" s="55" t="s">
        <v>585</v>
      </c>
      <c r="C17" s="190">
        <v>2</v>
      </c>
      <c r="D17" s="190" t="s">
        <v>449</v>
      </c>
      <c r="E17" s="423">
        <v>900</v>
      </c>
      <c r="F17" s="423">
        <f t="shared" si="0"/>
        <v>1800</v>
      </c>
      <c r="G17" s="207" t="s">
        <v>260</v>
      </c>
      <c r="H17" s="207" t="s">
        <v>260</v>
      </c>
      <c r="I17" s="420">
        <f t="shared" si="1"/>
        <v>1800</v>
      </c>
      <c r="J17" s="55"/>
      <c r="L17" s="27"/>
    </row>
    <row r="18" spans="1:12" s="28" customFormat="1">
      <c r="A18" s="412"/>
      <c r="B18" s="55" t="s">
        <v>586</v>
      </c>
      <c r="C18" s="190">
        <v>4</v>
      </c>
      <c r="D18" s="190" t="s">
        <v>449</v>
      </c>
      <c r="E18" s="423">
        <v>1250</v>
      </c>
      <c r="F18" s="423">
        <f t="shared" si="0"/>
        <v>5000</v>
      </c>
      <c r="G18" s="207" t="s">
        <v>260</v>
      </c>
      <c r="H18" s="207" t="s">
        <v>260</v>
      </c>
      <c r="I18" s="420">
        <f t="shared" si="1"/>
        <v>5000</v>
      </c>
      <c r="J18" s="55"/>
      <c r="L18" s="27"/>
    </row>
    <row r="19" spans="1:12" s="28" customFormat="1">
      <c r="A19" s="412"/>
      <c r="B19" s="55" t="s">
        <v>587</v>
      </c>
      <c r="C19" s="190">
        <v>1</v>
      </c>
      <c r="D19" s="190" t="s">
        <v>449</v>
      </c>
      <c r="E19" s="423">
        <v>150</v>
      </c>
      <c r="F19" s="423">
        <f t="shared" si="0"/>
        <v>150</v>
      </c>
      <c r="G19" s="207" t="s">
        <v>260</v>
      </c>
      <c r="H19" s="207" t="s">
        <v>260</v>
      </c>
      <c r="I19" s="420">
        <f t="shared" si="1"/>
        <v>150</v>
      </c>
      <c r="J19" s="55"/>
      <c r="L19" s="27"/>
    </row>
    <row r="20" spans="1:12">
      <c r="A20" s="412"/>
      <c r="B20" s="467" t="s">
        <v>588</v>
      </c>
      <c r="C20" s="82"/>
      <c r="D20" s="70"/>
      <c r="E20" s="81"/>
      <c r="F20" s="415"/>
      <c r="G20" s="415"/>
      <c r="H20" s="415"/>
      <c r="I20" s="416"/>
      <c r="J20" s="55"/>
    </row>
    <row r="21" spans="1:12">
      <c r="A21" s="412"/>
      <c r="B21" s="569" t="s">
        <v>497</v>
      </c>
      <c r="C21" s="55"/>
      <c r="D21" s="55"/>
      <c r="E21" s="519"/>
      <c r="F21" s="519"/>
      <c r="G21" s="519"/>
      <c r="H21" s="519"/>
      <c r="I21" s="519"/>
      <c r="J21" s="55"/>
    </row>
    <row r="22" spans="1:12">
      <c r="A22" s="412"/>
      <c r="B22" s="55" t="s">
        <v>589</v>
      </c>
      <c r="C22" s="190">
        <v>2</v>
      </c>
      <c r="D22" s="190" t="s">
        <v>119</v>
      </c>
      <c r="E22" s="423">
        <v>5850</v>
      </c>
      <c r="F22" s="423">
        <f>SUM(E22*C22)</f>
        <v>11700</v>
      </c>
      <c r="G22" s="207" t="s">
        <v>260</v>
      </c>
      <c r="H22" s="207" t="s">
        <v>260</v>
      </c>
      <c r="I22" s="420">
        <f>SUM(F22)</f>
        <v>11700</v>
      </c>
      <c r="J22" s="55"/>
      <c r="K22" s="10">
        <v>4350</v>
      </c>
    </row>
    <row r="23" spans="1:12">
      <c r="A23" s="412"/>
      <c r="B23" s="55" t="s">
        <v>590</v>
      </c>
      <c r="C23" s="190">
        <v>1</v>
      </c>
      <c r="D23" s="190" t="s">
        <v>119</v>
      </c>
      <c r="E23" s="423">
        <v>17840</v>
      </c>
      <c r="F23" s="423">
        <f>SUM(E23*C23)</f>
        <v>17840</v>
      </c>
      <c r="G23" s="207" t="s">
        <v>260</v>
      </c>
      <c r="H23" s="207" t="s">
        <v>260</v>
      </c>
      <c r="I23" s="420">
        <f>SUM(F23)</f>
        <v>17840</v>
      </c>
      <c r="J23" s="55"/>
      <c r="K23" s="61">
        <v>16340</v>
      </c>
    </row>
    <row r="24" spans="1:12">
      <c r="A24" s="432"/>
      <c r="B24" s="55"/>
      <c r="C24" s="190"/>
      <c r="D24" s="190"/>
      <c r="E24" s="423"/>
      <c r="F24" s="423"/>
      <c r="G24" s="571"/>
      <c r="H24" s="207"/>
      <c r="I24" s="420"/>
      <c r="J24" s="55"/>
      <c r="K24" s="61"/>
    </row>
    <row r="25" spans="1:12">
      <c r="A25" s="432"/>
      <c r="B25" s="57" t="s">
        <v>18</v>
      </c>
      <c r="C25" s="86"/>
      <c r="D25" s="57"/>
      <c r="E25" s="81"/>
      <c r="F25" s="433">
        <f>SUM(F9:F23)</f>
        <v>99380</v>
      </c>
      <c r="G25" s="434"/>
      <c r="H25" s="433">
        <f>SUM(H9:H23)</f>
        <v>29625</v>
      </c>
      <c r="I25" s="416"/>
      <c r="J25" s="55"/>
      <c r="K25" s="61">
        <f>+H25+F25</f>
        <v>129005</v>
      </c>
    </row>
    <row r="26" spans="1:12">
      <c r="A26" s="432"/>
      <c r="B26" s="412" t="s">
        <v>80</v>
      </c>
      <c r="C26" s="86"/>
      <c r="D26" s="57"/>
      <c r="E26" s="81"/>
      <c r="F26" s="415"/>
      <c r="G26" s="434"/>
      <c r="H26" s="435"/>
      <c r="I26" s="436">
        <f>SUM(I9:I23)</f>
        <v>129005</v>
      </c>
      <c r="J26" s="55"/>
      <c r="K26" s="61"/>
    </row>
    <row r="27" spans="1:12">
      <c r="A27" s="568"/>
      <c r="B27" s="411" t="s">
        <v>156</v>
      </c>
      <c r="C27" s="55"/>
      <c r="D27" s="55"/>
      <c r="E27" s="519"/>
      <c r="F27" s="519"/>
      <c r="G27" s="519"/>
      <c r="H27" s="519"/>
      <c r="I27" s="519"/>
      <c r="J27" s="55"/>
    </row>
    <row r="28" spans="1:12">
      <c r="A28" s="568"/>
      <c r="B28" s="467" t="s">
        <v>588</v>
      </c>
      <c r="C28" s="55"/>
      <c r="D28" s="55"/>
      <c r="E28" s="519"/>
      <c r="F28" s="519"/>
      <c r="G28" s="519"/>
      <c r="H28" s="519"/>
      <c r="I28" s="519"/>
      <c r="J28" s="55"/>
    </row>
    <row r="29" spans="1:12">
      <c r="A29" s="568"/>
      <c r="B29" s="55" t="s">
        <v>591</v>
      </c>
      <c r="C29" s="190">
        <v>1</v>
      </c>
      <c r="D29" s="190" t="s">
        <v>119</v>
      </c>
      <c r="E29" s="423">
        <v>9500</v>
      </c>
      <c r="F29" s="423">
        <f>SUM(E29*C29)</f>
        <v>9500</v>
      </c>
      <c r="G29" s="207" t="s">
        <v>260</v>
      </c>
      <c r="H29" s="207" t="s">
        <v>260</v>
      </c>
      <c r="I29" s="420">
        <f>SUM(F29)</f>
        <v>9500</v>
      </c>
      <c r="J29" s="55"/>
      <c r="K29" s="10" t="s">
        <v>592</v>
      </c>
    </row>
    <row r="30" spans="1:12">
      <c r="A30" s="568"/>
      <c r="B30" s="467" t="s">
        <v>593</v>
      </c>
      <c r="C30" s="82"/>
      <c r="D30" s="57"/>
      <c r="E30" s="81"/>
      <c r="F30" s="415"/>
      <c r="G30" s="415"/>
      <c r="H30" s="415"/>
      <c r="I30" s="81"/>
      <c r="J30" s="55"/>
    </row>
    <row r="31" spans="1:12">
      <c r="A31" s="568"/>
      <c r="B31" s="56" t="s">
        <v>594</v>
      </c>
      <c r="C31" s="190">
        <v>1</v>
      </c>
      <c r="D31" s="190" t="s">
        <v>595</v>
      </c>
      <c r="E31" s="423">
        <v>2500</v>
      </c>
      <c r="F31" s="423">
        <f>SUM(E31*C31)</f>
        <v>2500</v>
      </c>
      <c r="G31" s="650" t="s">
        <v>508</v>
      </c>
      <c r="H31" s="651"/>
      <c r="I31" s="420">
        <f>SUM(H31+F31)</f>
        <v>2500</v>
      </c>
      <c r="J31" s="55"/>
    </row>
    <row r="32" spans="1:12">
      <c r="A32" s="568"/>
      <c r="B32" s="56" t="s">
        <v>596</v>
      </c>
      <c r="C32" s="621">
        <v>1.5</v>
      </c>
      <c r="D32" s="190" t="s">
        <v>180</v>
      </c>
      <c r="E32" s="423">
        <v>453.9</v>
      </c>
      <c r="F32" s="423">
        <f>SUM(E32*C32)</f>
        <v>680.84999999999991</v>
      </c>
      <c r="G32" s="423">
        <v>250</v>
      </c>
      <c r="H32" s="423">
        <f>SUM(G32*C32)</f>
        <v>375</v>
      </c>
      <c r="I32" s="420">
        <f>SUM(H32+F32)</f>
        <v>1055.8499999999999</v>
      </c>
      <c r="J32" s="55"/>
    </row>
    <row r="33" spans="1:11">
      <c r="A33" s="568"/>
      <c r="B33" s="56" t="s">
        <v>597</v>
      </c>
      <c r="C33" s="190">
        <v>1</v>
      </c>
      <c r="D33" s="190" t="s">
        <v>180</v>
      </c>
      <c r="E33" s="423">
        <v>248</v>
      </c>
      <c r="F33" s="423">
        <f>SUM(E33*C33)</f>
        <v>248</v>
      </c>
      <c r="G33" s="423">
        <v>150</v>
      </c>
      <c r="H33" s="423">
        <f>SUM(G33*C33)</f>
        <v>150</v>
      </c>
      <c r="I33" s="420">
        <f>SUM(H33+F33)</f>
        <v>398</v>
      </c>
      <c r="J33" s="55"/>
    </row>
    <row r="34" spans="1:11">
      <c r="A34" s="568"/>
      <c r="B34" s="56" t="s">
        <v>598</v>
      </c>
      <c r="C34" s="190">
        <v>1</v>
      </c>
      <c r="D34" s="190" t="s">
        <v>119</v>
      </c>
      <c r="E34" s="423">
        <v>16340</v>
      </c>
      <c r="F34" s="423">
        <f>SUM(E34*C34)</f>
        <v>16340</v>
      </c>
      <c r="G34" s="423">
        <v>800</v>
      </c>
      <c r="H34" s="423">
        <f>SUM(G34*C34)</f>
        <v>800</v>
      </c>
      <c r="I34" s="420">
        <f>SUM(H34+F34)</f>
        <v>17140</v>
      </c>
      <c r="J34" s="55"/>
    </row>
    <row r="35" spans="1:11">
      <c r="A35" s="568"/>
      <c r="B35" s="55" t="s">
        <v>599</v>
      </c>
      <c r="C35" s="570">
        <v>1</v>
      </c>
      <c r="D35" s="190" t="s">
        <v>119</v>
      </c>
      <c r="E35" s="541">
        <v>3120</v>
      </c>
      <c r="F35" s="541">
        <f>SUM(E35*C35)</f>
        <v>3120</v>
      </c>
      <c r="G35" s="423">
        <v>800</v>
      </c>
      <c r="H35" s="423">
        <f>SUM(G35*C35)</f>
        <v>800</v>
      </c>
      <c r="I35" s="420">
        <f>SUM(H35+F35)</f>
        <v>3920</v>
      </c>
      <c r="J35" s="55"/>
    </row>
    <row r="36" spans="1:11">
      <c r="A36" s="568"/>
      <c r="B36" s="55"/>
      <c r="C36" s="55"/>
      <c r="D36" s="55"/>
      <c r="E36" s="519"/>
      <c r="F36" s="519"/>
      <c r="G36" s="519"/>
      <c r="H36" s="519"/>
      <c r="I36" s="519"/>
      <c r="J36" s="55"/>
    </row>
    <row r="37" spans="1:11">
      <c r="A37" s="568"/>
      <c r="B37" s="55" t="s">
        <v>600</v>
      </c>
      <c r="C37" s="580">
        <v>2</v>
      </c>
      <c r="D37" s="190" t="s">
        <v>19</v>
      </c>
      <c r="E37" s="423">
        <v>1350</v>
      </c>
      <c r="F37" s="423">
        <f>SUM(E37*C37)</f>
        <v>2700</v>
      </c>
      <c r="G37" s="650" t="s">
        <v>508</v>
      </c>
      <c r="H37" s="651"/>
      <c r="I37" s="420">
        <f>SUM(H37+F37)</f>
        <v>2700</v>
      </c>
      <c r="J37" s="55"/>
    </row>
    <row r="38" spans="1:11">
      <c r="A38" s="568"/>
      <c r="B38" s="55" t="s">
        <v>530</v>
      </c>
      <c r="C38" s="580">
        <v>27</v>
      </c>
      <c r="D38" s="190" t="s">
        <v>250</v>
      </c>
      <c r="E38" s="207" t="s">
        <v>260</v>
      </c>
      <c r="F38" s="207" t="s">
        <v>260</v>
      </c>
      <c r="G38" s="423">
        <v>99</v>
      </c>
      <c r="H38" s="423">
        <f>SUM(G38*C38)</f>
        <v>2673</v>
      </c>
      <c r="I38" s="420">
        <f>SUM(H38)</f>
        <v>2673</v>
      </c>
      <c r="J38" s="55"/>
    </row>
    <row r="39" spans="1:11">
      <c r="A39" s="568"/>
      <c r="B39" s="55" t="s">
        <v>531</v>
      </c>
      <c r="C39" s="580">
        <v>11</v>
      </c>
      <c r="D39" s="190" t="s">
        <v>250</v>
      </c>
      <c r="E39" s="423">
        <v>537</v>
      </c>
      <c r="F39" s="423">
        <f>SUM(E39*C39)</f>
        <v>5907</v>
      </c>
      <c r="G39" s="423">
        <v>91</v>
      </c>
      <c r="H39" s="423">
        <f>SUM(G39*C39)</f>
        <v>1001</v>
      </c>
      <c r="I39" s="420">
        <f>SUM(H39+F39)</f>
        <v>6908</v>
      </c>
      <c r="J39" s="55"/>
    </row>
    <row r="40" spans="1:11">
      <c r="A40" s="568"/>
      <c r="B40" s="55"/>
      <c r="C40" s="55"/>
      <c r="D40" s="55"/>
      <c r="E40" s="519"/>
      <c r="F40" s="519"/>
      <c r="G40" s="519"/>
      <c r="H40" s="519"/>
      <c r="I40" s="519"/>
      <c r="J40" s="55"/>
    </row>
    <row r="41" spans="1:11">
      <c r="A41" s="568"/>
      <c r="B41" s="55"/>
      <c r="C41" s="55"/>
      <c r="D41" s="55"/>
      <c r="E41" s="519"/>
      <c r="F41" s="519"/>
      <c r="G41" s="519"/>
      <c r="H41" s="519"/>
      <c r="I41" s="519"/>
      <c r="J41" s="55"/>
    </row>
    <row r="42" spans="1:11">
      <c r="A42" s="568"/>
      <c r="B42" s="55"/>
      <c r="C42" s="55"/>
      <c r="D42" s="55"/>
      <c r="E42" s="519"/>
      <c r="F42" s="519"/>
      <c r="G42" s="519"/>
      <c r="H42" s="519"/>
      <c r="I42" s="519"/>
      <c r="J42" s="55"/>
    </row>
    <row r="43" spans="1:11">
      <c r="A43" s="568"/>
      <c r="B43" s="55"/>
      <c r="C43" s="55"/>
      <c r="D43" s="55"/>
      <c r="E43" s="519"/>
      <c r="F43" s="519"/>
      <c r="G43" s="519"/>
      <c r="H43" s="519"/>
      <c r="I43" s="519"/>
      <c r="J43" s="55"/>
    </row>
    <row r="44" spans="1:11">
      <c r="A44" s="568"/>
      <c r="B44" s="57" t="s">
        <v>18</v>
      </c>
      <c r="C44" s="86"/>
      <c r="D44" s="57"/>
      <c r="E44" s="81"/>
      <c r="F44" s="433">
        <f>SUM(F28:F43)</f>
        <v>40995.85</v>
      </c>
      <c r="G44" s="434"/>
      <c r="H44" s="433">
        <f>SUM(H28:H43)</f>
        <v>5799</v>
      </c>
      <c r="I44" s="416"/>
      <c r="J44" s="55"/>
      <c r="K44" s="461">
        <f>+H44+F44</f>
        <v>46794.85</v>
      </c>
    </row>
    <row r="45" spans="1:11">
      <c r="A45" s="568"/>
      <c r="B45" s="412" t="s">
        <v>80</v>
      </c>
      <c r="C45" s="86"/>
      <c r="D45" s="57"/>
      <c r="E45" s="81"/>
      <c r="F45" s="415"/>
      <c r="G45" s="434"/>
      <c r="H45" s="435"/>
      <c r="I45" s="436">
        <f>SUM(I28:I43)</f>
        <v>46794.85</v>
      </c>
      <c r="J45" s="55"/>
    </row>
    <row r="46" spans="1:11">
      <c r="A46" s="568"/>
      <c r="B46" s="411" t="s">
        <v>659</v>
      </c>
      <c r="C46" s="55"/>
      <c r="D46" s="55"/>
      <c r="E46" s="519"/>
      <c r="F46" s="519"/>
      <c r="G46" s="519"/>
      <c r="H46" s="519"/>
      <c r="I46" s="519"/>
      <c r="J46" s="55"/>
    </row>
    <row r="47" spans="1:11">
      <c r="A47" s="568"/>
      <c r="B47" s="467" t="s">
        <v>601</v>
      </c>
      <c r="C47" s="55"/>
      <c r="D47" s="55"/>
      <c r="E47" s="519"/>
      <c r="F47" s="519"/>
      <c r="G47" s="519"/>
      <c r="H47" s="519"/>
      <c r="I47" s="519"/>
      <c r="J47" s="55"/>
      <c r="K47" s="622" t="s">
        <v>602</v>
      </c>
    </row>
    <row r="48" spans="1:11">
      <c r="A48" s="568"/>
      <c r="B48" s="56" t="s">
        <v>603</v>
      </c>
      <c r="C48" s="190">
        <v>4</v>
      </c>
      <c r="D48" s="190" t="s">
        <v>180</v>
      </c>
      <c r="E48" s="423">
        <v>693</v>
      </c>
      <c r="F48" s="423">
        <f t="shared" ref="F48:F58" si="2">SUM(E48*C48)</f>
        <v>2772</v>
      </c>
      <c r="G48" s="423">
        <v>280</v>
      </c>
      <c r="H48" s="423">
        <f>SUM(G48*C48)</f>
        <v>1120</v>
      </c>
      <c r="I48" s="420">
        <f>SUM(H48+F48)</f>
        <v>3892</v>
      </c>
      <c r="J48" s="623"/>
      <c r="K48" s="429">
        <v>2</v>
      </c>
    </row>
    <row r="49" spans="1:13">
      <c r="A49" s="568"/>
      <c r="B49" s="55" t="s">
        <v>604</v>
      </c>
      <c r="C49" s="570">
        <v>2</v>
      </c>
      <c r="D49" s="190" t="s">
        <v>119</v>
      </c>
      <c r="E49" s="541">
        <v>2750</v>
      </c>
      <c r="F49" s="541">
        <f t="shared" si="2"/>
        <v>5500</v>
      </c>
      <c r="G49" s="207" t="s">
        <v>260</v>
      </c>
      <c r="H49" s="207" t="s">
        <v>260</v>
      </c>
      <c r="I49" s="542">
        <f t="shared" ref="I49:I55" si="3">SUM(F49)</f>
        <v>5500</v>
      </c>
      <c r="J49" s="623"/>
      <c r="K49" s="624">
        <v>1</v>
      </c>
    </row>
    <row r="50" spans="1:13">
      <c r="A50" s="568"/>
      <c r="B50" s="55" t="s">
        <v>605</v>
      </c>
      <c r="C50" s="570">
        <v>2</v>
      </c>
      <c r="D50" s="190" t="s">
        <v>449</v>
      </c>
      <c r="E50" s="541">
        <v>280</v>
      </c>
      <c r="F50" s="541">
        <f t="shared" si="2"/>
        <v>560</v>
      </c>
      <c r="G50" s="207" t="s">
        <v>260</v>
      </c>
      <c r="H50" s="207" t="s">
        <v>260</v>
      </c>
      <c r="I50" s="542">
        <f t="shared" si="3"/>
        <v>560</v>
      </c>
      <c r="J50" s="623"/>
      <c r="K50" s="624">
        <v>1</v>
      </c>
    </row>
    <row r="51" spans="1:13">
      <c r="A51" s="568"/>
      <c r="B51" s="55" t="s">
        <v>606</v>
      </c>
      <c r="C51" s="570">
        <v>2</v>
      </c>
      <c r="D51" s="190" t="s">
        <v>449</v>
      </c>
      <c r="E51" s="541">
        <v>950</v>
      </c>
      <c r="F51" s="541">
        <f t="shared" si="2"/>
        <v>1900</v>
      </c>
      <c r="G51" s="207" t="s">
        <v>260</v>
      </c>
      <c r="H51" s="207" t="s">
        <v>260</v>
      </c>
      <c r="I51" s="542">
        <f t="shared" si="3"/>
        <v>1900</v>
      </c>
      <c r="J51" s="623"/>
      <c r="K51" s="624">
        <v>1</v>
      </c>
    </row>
    <row r="52" spans="1:13">
      <c r="A52" s="568"/>
      <c r="B52" s="56" t="s">
        <v>607</v>
      </c>
      <c r="C52" s="190">
        <v>2</v>
      </c>
      <c r="D52" s="190" t="s">
        <v>119</v>
      </c>
      <c r="E52" s="423">
        <v>25600</v>
      </c>
      <c r="F52" s="423">
        <f t="shared" si="2"/>
        <v>51200</v>
      </c>
      <c r="G52" s="207" t="s">
        <v>260</v>
      </c>
      <c r="H52" s="207" t="s">
        <v>260</v>
      </c>
      <c r="I52" s="420">
        <f t="shared" si="3"/>
        <v>51200</v>
      </c>
      <c r="J52" s="623"/>
      <c r="K52" s="429">
        <v>1</v>
      </c>
      <c r="L52" s="8">
        <v>32000</v>
      </c>
      <c r="M52" s="625">
        <v>0.2</v>
      </c>
    </row>
    <row r="53" spans="1:13">
      <c r="A53" s="568"/>
      <c r="B53" s="55" t="s">
        <v>608</v>
      </c>
      <c r="C53" s="190">
        <v>2</v>
      </c>
      <c r="D53" s="190" t="s">
        <v>449</v>
      </c>
      <c r="E53" s="423">
        <v>2400</v>
      </c>
      <c r="F53" s="423">
        <f t="shared" si="2"/>
        <v>4800</v>
      </c>
      <c r="G53" s="207" t="s">
        <v>260</v>
      </c>
      <c r="H53" s="207" t="s">
        <v>260</v>
      </c>
      <c r="I53" s="542">
        <f t="shared" si="3"/>
        <v>4800</v>
      </c>
      <c r="J53" s="623"/>
      <c r="K53" s="429">
        <v>1</v>
      </c>
    </row>
    <row r="54" spans="1:13">
      <c r="A54" s="568"/>
      <c r="B54" s="55" t="s">
        <v>609</v>
      </c>
      <c r="C54" s="190">
        <v>2</v>
      </c>
      <c r="D54" s="190" t="s">
        <v>449</v>
      </c>
      <c r="E54" s="423">
        <v>2900</v>
      </c>
      <c r="F54" s="423">
        <f t="shared" si="2"/>
        <v>5800</v>
      </c>
      <c r="G54" s="207" t="s">
        <v>260</v>
      </c>
      <c r="H54" s="207" t="s">
        <v>260</v>
      </c>
      <c r="I54" s="542">
        <f t="shared" si="3"/>
        <v>5800</v>
      </c>
      <c r="J54" s="623"/>
      <c r="K54" s="429">
        <v>1</v>
      </c>
    </row>
    <row r="55" spans="1:13">
      <c r="A55" s="568"/>
      <c r="B55" s="55" t="s">
        <v>610</v>
      </c>
      <c r="C55" s="190">
        <v>4</v>
      </c>
      <c r="D55" s="190" t="s">
        <v>449</v>
      </c>
      <c r="E55" s="423">
        <v>1640</v>
      </c>
      <c r="F55" s="423">
        <f t="shared" si="2"/>
        <v>6560</v>
      </c>
      <c r="G55" s="207" t="s">
        <v>260</v>
      </c>
      <c r="H55" s="207" t="s">
        <v>260</v>
      </c>
      <c r="I55" s="542">
        <f t="shared" si="3"/>
        <v>6560</v>
      </c>
      <c r="J55" s="623"/>
      <c r="K55" s="429">
        <v>2</v>
      </c>
    </row>
    <row r="56" spans="1:13">
      <c r="A56" s="568"/>
      <c r="B56" s="582" t="s">
        <v>611</v>
      </c>
      <c r="C56" s="190">
        <v>2</v>
      </c>
      <c r="D56" s="190" t="s">
        <v>19</v>
      </c>
      <c r="E56" s="423">
        <v>950</v>
      </c>
      <c r="F56" s="423">
        <f t="shared" si="2"/>
        <v>1900</v>
      </c>
      <c r="G56" s="650" t="s">
        <v>508</v>
      </c>
      <c r="H56" s="651"/>
      <c r="I56" s="420">
        <f>SUM(H56+F56)</f>
        <v>1900</v>
      </c>
      <c r="J56" s="623"/>
      <c r="K56" s="429">
        <v>1</v>
      </c>
    </row>
    <row r="57" spans="1:13">
      <c r="A57" s="568"/>
      <c r="B57" s="582" t="s">
        <v>612</v>
      </c>
      <c r="C57" s="190">
        <v>2</v>
      </c>
      <c r="D57" s="190" t="s">
        <v>19</v>
      </c>
      <c r="E57" s="423">
        <v>750</v>
      </c>
      <c r="F57" s="423">
        <f t="shared" si="2"/>
        <v>1500</v>
      </c>
      <c r="G57" s="650" t="s">
        <v>508</v>
      </c>
      <c r="H57" s="651"/>
      <c r="I57" s="420">
        <f>SUM(H57+F57)</f>
        <v>1500</v>
      </c>
      <c r="J57" s="623"/>
      <c r="K57" s="429">
        <v>1</v>
      </c>
    </row>
    <row r="58" spans="1:13">
      <c r="A58" s="568"/>
      <c r="B58" s="55" t="s">
        <v>613</v>
      </c>
      <c r="C58" s="190">
        <v>2</v>
      </c>
      <c r="D58" s="190" t="s">
        <v>19</v>
      </c>
      <c r="E58" s="423">
        <v>500</v>
      </c>
      <c r="F58" s="423">
        <f t="shared" si="2"/>
        <v>1000</v>
      </c>
      <c r="G58" s="650" t="s">
        <v>508</v>
      </c>
      <c r="H58" s="651"/>
      <c r="I58" s="420">
        <f>SUM(H58+F58)</f>
        <v>1000</v>
      </c>
      <c r="J58" s="623"/>
      <c r="K58" s="429">
        <v>1</v>
      </c>
    </row>
    <row r="59" spans="1:13">
      <c r="A59" s="568"/>
      <c r="B59" s="55"/>
      <c r="C59" s="55"/>
      <c r="D59" s="55"/>
      <c r="E59" s="519"/>
      <c r="F59" s="519"/>
      <c r="G59" s="519"/>
      <c r="H59" s="519"/>
      <c r="I59" s="519"/>
      <c r="J59" s="55"/>
    </row>
    <row r="60" spans="1:13">
      <c r="A60" s="568"/>
      <c r="B60" s="55"/>
      <c r="C60" s="55"/>
      <c r="D60" s="55"/>
      <c r="E60" s="519"/>
      <c r="F60" s="519"/>
      <c r="G60" s="519"/>
      <c r="H60" s="519"/>
      <c r="I60" s="519"/>
      <c r="J60" s="55"/>
    </row>
    <row r="61" spans="1:13">
      <c r="A61" s="568"/>
      <c r="B61" s="55"/>
      <c r="C61" s="55"/>
      <c r="D61" s="55"/>
      <c r="E61" s="519"/>
      <c r="F61" s="519"/>
      <c r="G61" s="519"/>
      <c r="H61" s="519"/>
      <c r="I61" s="519"/>
      <c r="J61" s="55"/>
    </row>
    <row r="62" spans="1:13">
      <c r="A62" s="568"/>
      <c r="B62" s="55"/>
      <c r="C62" s="55"/>
      <c r="D62" s="55"/>
      <c r="E62" s="519"/>
      <c r="F62" s="519"/>
      <c r="G62" s="519"/>
      <c r="H62" s="519"/>
      <c r="I62" s="519"/>
      <c r="J62" s="55"/>
    </row>
    <row r="63" spans="1:13">
      <c r="A63" s="568"/>
      <c r="B63" s="57" t="s">
        <v>18</v>
      </c>
      <c r="C63" s="86"/>
      <c r="D63" s="57"/>
      <c r="E63" s="81"/>
      <c r="F63" s="433">
        <f>SUM(F47:F62)</f>
        <v>83492</v>
      </c>
      <c r="G63" s="434"/>
      <c r="H63" s="433">
        <f>SUM(H47:H62)</f>
        <v>1120</v>
      </c>
      <c r="I63" s="416"/>
      <c r="J63" s="55"/>
      <c r="K63" s="461">
        <f>+H63+F63</f>
        <v>84612</v>
      </c>
    </row>
    <row r="64" spans="1:13">
      <c r="A64" s="568"/>
      <c r="B64" s="412" t="s">
        <v>80</v>
      </c>
      <c r="C64" s="86"/>
      <c r="D64" s="57"/>
      <c r="E64" s="81"/>
      <c r="F64" s="415"/>
      <c r="G64" s="434"/>
      <c r="H64" s="435"/>
      <c r="I64" s="436">
        <f>SUM(I47:I62)</f>
        <v>84612</v>
      </c>
      <c r="J64" s="55"/>
      <c r="K64" s="471">
        <f>I64+I45+I26</f>
        <v>260411.85</v>
      </c>
    </row>
    <row r="65" spans="1:13">
      <c r="A65" s="568"/>
      <c r="B65" s="411" t="s">
        <v>658</v>
      </c>
      <c r="C65" s="55"/>
      <c r="D65" s="55"/>
      <c r="E65" s="519"/>
      <c r="F65" s="519"/>
      <c r="G65" s="519"/>
      <c r="H65" s="519"/>
      <c r="I65" s="519"/>
      <c r="J65" s="55"/>
    </row>
    <row r="66" spans="1:13">
      <c r="A66" s="568"/>
      <c r="B66" s="467" t="s">
        <v>614</v>
      </c>
      <c r="C66" s="55"/>
      <c r="D66" s="55"/>
      <c r="E66" s="519"/>
      <c r="F66" s="519"/>
      <c r="G66" s="519"/>
      <c r="H66" s="519"/>
      <c r="I66" s="519"/>
      <c r="J66" s="55"/>
    </row>
    <row r="67" spans="1:13">
      <c r="A67" s="568"/>
      <c r="B67" s="55" t="s">
        <v>615</v>
      </c>
      <c r="C67" s="580">
        <v>28</v>
      </c>
      <c r="D67" s="190" t="s">
        <v>118</v>
      </c>
      <c r="E67" s="423">
        <v>519</v>
      </c>
      <c r="F67" s="423">
        <f>SUM(E67*C67)</f>
        <v>14532</v>
      </c>
      <c r="G67" s="207" t="s">
        <v>260</v>
      </c>
      <c r="H67" s="207" t="s">
        <v>260</v>
      </c>
      <c r="I67" s="542">
        <f>SUM(F67)</f>
        <v>14532</v>
      </c>
      <c r="J67" s="55"/>
    </row>
    <row r="68" spans="1:13">
      <c r="A68" s="568"/>
      <c r="B68" s="467" t="s">
        <v>616</v>
      </c>
      <c r="C68" s="55"/>
      <c r="D68" s="55"/>
      <c r="E68" s="519"/>
      <c r="F68" s="519"/>
      <c r="G68" s="519"/>
      <c r="H68" s="519"/>
      <c r="I68" s="519"/>
      <c r="J68" s="55"/>
    </row>
    <row r="69" spans="1:13">
      <c r="A69" s="568"/>
      <c r="B69" s="55" t="s">
        <v>615</v>
      </c>
      <c r="C69" s="580">
        <v>249</v>
      </c>
      <c r="D69" s="190" t="s">
        <v>118</v>
      </c>
      <c r="E69" s="423">
        <v>432</v>
      </c>
      <c r="F69" s="423">
        <f>SUM(E69*C69)</f>
        <v>107568</v>
      </c>
      <c r="G69" s="207" t="s">
        <v>260</v>
      </c>
      <c r="H69" s="207" t="s">
        <v>260</v>
      </c>
      <c r="I69" s="542">
        <f>SUM(F69)</f>
        <v>107568</v>
      </c>
      <c r="J69" s="55"/>
    </row>
    <row r="70" spans="1:13">
      <c r="A70" s="568"/>
      <c r="B70" s="55" t="s">
        <v>617</v>
      </c>
      <c r="C70" s="580">
        <v>69</v>
      </c>
      <c r="D70" s="190" t="s">
        <v>118</v>
      </c>
      <c r="E70" s="423">
        <v>601</v>
      </c>
      <c r="F70" s="423">
        <f>SUM(E70*C70)</f>
        <v>41469</v>
      </c>
      <c r="G70" s="207" t="s">
        <v>260</v>
      </c>
      <c r="H70" s="207" t="s">
        <v>260</v>
      </c>
      <c r="I70" s="542">
        <f>SUM(F70)</f>
        <v>41469</v>
      </c>
      <c r="J70" s="55"/>
    </row>
    <row r="71" spans="1:13">
      <c r="A71" s="568"/>
      <c r="B71" s="467" t="s">
        <v>618</v>
      </c>
      <c r="C71" s="55"/>
      <c r="D71" s="55"/>
      <c r="E71" s="519"/>
      <c r="F71" s="519"/>
      <c r="G71" s="519"/>
      <c r="H71" s="519"/>
      <c r="I71" s="519"/>
      <c r="J71" s="55"/>
    </row>
    <row r="72" spans="1:13">
      <c r="A72" s="568"/>
      <c r="B72" s="55" t="s">
        <v>619</v>
      </c>
      <c r="C72" s="580">
        <v>149</v>
      </c>
      <c r="D72" s="190" t="s">
        <v>180</v>
      </c>
      <c r="E72" s="423">
        <v>1210</v>
      </c>
      <c r="F72" s="423">
        <f>SUM(E72*C72)</f>
        <v>180290</v>
      </c>
      <c r="G72" s="650" t="s">
        <v>508</v>
      </c>
      <c r="H72" s="651"/>
      <c r="I72" s="420">
        <f>SUM(H72+F72)</f>
        <v>180290</v>
      </c>
      <c r="J72" s="55"/>
    </row>
    <row r="73" spans="1:13">
      <c r="A73" s="568"/>
      <c r="B73" s="55" t="s">
        <v>620</v>
      </c>
      <c r="C73" s="576">
        <v>1</v>
      </c>
      <c r="D73" s="576" t="s">
        <v>19</v>
      </c>
      <c r="E73" s="423">
        <v>12000</v>
      </c>
      <c r="F73" s="423">
        <f>SUM(E73*C73)</f>
        <v>12000</v>
      </c>
      <c r="G73" s="650" t="s">
        <v>508</v>
      </c>
      <c r="H73" s="651"/>
      <c r="I73" s="420">
        <f>SUM(H73+F73)</f>
        <v>12000</v>
      </c>
      <c r="J73" s="55"/>
      <c r="K73" s="10" t="s">
        <v>621</v>
      </c>
    </row>
    <row r="74" spans="1:13">
      <c r="A74" s="568"/>
      <c r="B74" s="55" t="s">
        <v>622</v>
      </c>
      <c r="C74" s="580"/>
      <c r="D74" s="190"/>
      <c r="E74" s="423"/>
      <c r="F74" s="423"/>
      <c r="G74" s="519"/>
      <c r="H74" s="519"/>
      <c r="I74" s="420"/>
      <c r="J74" s="55"/>
    </row>
    <row r="75" spans="1:13">
      <c r="A75" s="568"/>
      <c r="B75" s="56" t="s">
        <v>623</v>
      </c>
      <c r="C75" s="86">
        <v>160</v>
      </c>
      <c r="D75" s="57" t="s">
        <v>180</v>
      </c>
      <c r="E75" s="423">
        <v>380</v>
      </c>
      <c r="F75" s="423">
        <f>SUM(E75*C75)</f>
        <v>60800</v>
      </c>
      <c r="G75" s="650" t="s">
        <v>508</v>
      </c>
      <c r="H75" s="651"/>
      <c r="I75" s="420">
        <f>SUM(H75+F75)</f>
        <v>60800</v>
      </c>
      <c r="J75" s="55"/>
      <c r="K75" s="10" t="s">
        <v>624</v>
      </c>
      <c r="M75" s="10" t="s">
        <v>625</v>
      </c>
    </row>
    <row r="76" spans="1:13">
      <c r="A76" s="568"/>
      <c r="B76" s="55" t="s">
        <v>626</v>
      </c>
      <c r="C76" s="86"/>
      <c r="D76" s="57"/>
      <c r="E76" s="423"/>
      <c r="F76" s="423"/>
      <c r="G76" s="519"/>
      <c r="H76" s="519"/>
      <c r="I76" s="420"/>
      <c r="J76" s="55"/>
    </row>
    <row r="77" spans="1:13">
      <c r="A77" s="568"/>
      <c r="B77" s="55" t="s">
        <v>627</v>
      </c>
      <c r="C77" s="576">
        <v>1</v>
      </c>
      <c r="D77" s="576" t="s">
        <v>19</v>
      </c>
      <c r="E77" s="423">
        <v>56000</v>
      </c>
      <c r="F77" s="423">
        <f>SUM(E77*C77)</f>
        <v>56000</v>
      </c>
      <c r="G77" s="650" t="s">
        <v>508</v>
      </c>
      <c r="H77" s="651"/>
      <c r="I77" s="420">
        <f>SUM(H77+F77)</f>
        <v>56000</v>
      </c>
      <c r="J77" s="55"/>
      <c r="K77" s="448">
        <v>32420</v>
      </c>
      <c r="L77" s="8" t="s">
        <v>628</v>
      </c>
    </row>
    <row r="78" spans="1:13">
      <c r="A78" s="568"/>
      <c r="B78" s="55" t="s">
        <v>629</v>
      </c>
      <c r="C78" s="55"/>
      <c r="D78" s="55"/>
      <c r="E78" s="519"/>
      <c r="F78" s="519"/>
      <c r="G78" s="519"/>
      <c r="H78" s="519"/>
      <c r="I78" s="519"/>
      <c r="J78" s="55"/>
      <c r="K78" s="10">
        <v>2200</v>
      </c>
    </row>
    <row r="79" spans="1:13">
      <c r="A79" s="568"/>
      <c r="B79" s="55"/>
      <c r="C79" s="55"/>
      <c r="D79" s="55"/>
      <c r="E79" s="519"/>
      <c r="F79" s="519"/>
      <c r="G79" s="519"/>
      <c r="H79" s="519"/>
      <c r="I79" s="519"/>
      <c r="J79" s="55"/>
    </row>
    <row r="80" spans="1:13">
      <c r="A80" s="568"/>
      <c r="B80" s="55"/>
      <c r="C80" s="55"/>
      <c r="D80" s="55"/>
      <c r="E80" s="519"/>
      <c r="F80" s="519"/>
      <c r="G80" s="519"/>
      <c r="H80" s="519"/>
      <c r="I80" s="519"/>
      <c r="J80" s="55"/>
    </row>
    <row r="81" spans="1:13">
      <c r="A81" s="568"/>
      <c r="B81" s="55"/>
      <c r="C81" s="580"/>
      <c r="D81" s="190"/>
      <c r="E81" s="423"/>
      <c r="F81" s="423"/>
      <c r="G81" s="519"/>
      <c r="H81" s="519"/>
      <c r="I81" s="420"/>
      <c r="J81" s="55"/>
    </row>
    <row r="82" spans="1:13">
      <c r="A82" s="568"/>
      <c r="B82" s="57" t="s">
        <v>18</v>
      </c>
      <c r="C82" s="86"/>
      <c r="D82" s="57"/>
      <c r="E82" s="81"/>
      <c r="F82" s="433">
        <f>SUM(F66:F81)</f>
        <v>472659</v>
      </c>
      <c r="G82" s="434"/>
      <c r="H82" s="433">
        <f>SUM(H66:H81)</f>
        <v>0</v>
      </c>
      <c r="I82" s="416"/>
      <c r="J82" s="55"/>
      <c r="K82" s="461">
        <f>+H82+F82</f>
        <v>472659</v>
      </c>
    </row>
    <row r="83" spans="1:13">
      <c r="A83" s="568"/>
      <c r="B83" s="412" t="s">
        <v>80</v>
      </c>
      <c r="C83" s="86"/>
      <c r="D83" s="57"/>
      <c r="E83" s="81"/>
      <c r="F83" s="415"/>
      <c r="G83" s="434"/>
      <c r="H83" s="435"/>
      <c r="I83" s="436">
        <f>SUM(I66:I81)</f>
        <v>472659</v>
      </c>
      <c r="J83" s="55"/>
    </row>
    <row r="84" spans="1:13">
      <c r="A84" s="568"/>
      <c r="B84" s="411" t="s">
        <v>658</v>
      </c>
      <c r="C84" s="55"/>
      <c r="D84" s="55"/>
      <c r="E84" s="519"/>
      <c r="F84" s="519"/>
      <c r="G84" s="519"/>
      <c r="H84" s="519"/>
      <c r="I84" s="519"/>
      <c r="J84" s="55"/>
    </row>
    <row r="85" spans="1:13">
      <c r="A85" s="568"/>
      <c r="B85" s="467" t="s">
        <v>630</v>
      </c>
      <c r="C85" s="55"/>
      <c r="D85" s="55"/>
      <c r="E85" s="519"/>
      <c r="F85" s="519"/>
      <c r="G85" s="519"/>
      <c r="H85" s="519"/>
      <c r="I85" s="519"/>
      <c r="J85" s="55"/>
    </row>
    <row r="86" spans="1:13">
      <c r="A86" s="568"/>
      <c r="B86" s="55" t="s">
        <v>635</v>
      </c>
      <c r="C86" s="55"/>
      <c r="D86" s="55"/>
      <c r="E86" s="519"/>
      <c r="F86" s="519"/>
      <c r="G86" s="519"/>
      <c r="H86" s="519"/>
      <c r="I86" s="519"/>
      <c r="J86" s="55"/>
    </row>
    <row r="87" spans="1:13">
      <c r="A87" s="568"/>
      <c r="B87" s="55" t="s">
        <v>632</v>
      </c>
      <c r="C87" s="580">
        <v>4</v>
      </c>
      <c r="D87" s="190" t="s">
        <v>595</v>
      </c>
      <c r="E87" s="423">
        <v>5280</v>
      </c>
      <c r="F87" s="423">
        <f>SUM(E87*C87)</f>
        <v>21120</v>
      </c>
      <c r="G87" s="650" t="s">
        <v>508</v>
      </c>
      <c r="H87" s="651"/>
      <c r="I87" s="420">
        <f>SUM(H87+F87)</f>
        <v>21120</v>
      </c>
      <c r="J87" s="55"/>
      <c r="K87" s="191"/>
    </row>
    <row r="88" spans="1:13">
      <c r="A88" s="568"/>
      <c r="B88" s="55" t="s">
        <v>633</v>
      </c>
      <c r="C88" s="580">
        <v>8</v>
      </c>
      <c r="D88" s="190" t="s">
        <v>595</v>
      </c>
      <c r="E88" s="423">
        <v>13200</v>
      </c>
      <c r="F88" s="423">
        <f>SUM(E88*C88)</f>
        <v>105600</v>
      </c>
      <c r="G88" s="650" t="s">
        <v>508</v>
      </c>
      <c r="H88" s="651"/>
      <c r="I88" s="420">
        <f>SUM(H88+F88)</f>
        <v>105600</v>
      </c>
      <c r="J88" s="55"/>
      <c r="K88" s="191"/>
    </row>
    <row r="89" spans="1:13">
      <c r="A89" s="568"/>
      <c r="B89" s="55" t="s">
        <v>634</v>
      </c>
      <c r="C89" s="580">
        <v>4</v>
      </c>
      <c r="D89" s="190" t="s">
        <v>595</v>
      </c>
      <c r="E89" s="423">
        <v>19800</v>
      </c>
      <c r="F89" s="423">
        <f>SUM(E89*C89)</f>
        <v>79200</v>
      </c>
      <c r="G89" s="650" t="s">
        <v>508</v>
      </c>
      <c r="H89" s="651"/>
      <c r="I89" s="420">
        <f>SUM(H89+F89)</f>
        <v>79200</v>
      </c>
      <c r="J89" s="55"/>
    </row>
    <row r="90" spans="1:13">
      <c r="A90" s="568"/>
      <c r="B90" s="55" t="s">
        <v>631</v>
      </c>
      <c r="C90" s="55"/>
      <c r="D90" s="55"/>
      <c r="E90" s="519"/>
      <c r="F90" s="519"/>
      <c r="G90" s="519"/>
      <c r="H90" s="519"/>
      <c r="I90" s="519"/>
      <c r="J90" s="55"/>
    </row>
    <row r="91" spans="1:13">
      <c r="A91" s="568"/>
      <c r="B91" s="55" t="s">
        <v>632</v>
      </c>
      <c r="C91" s="580">
        <v>40</v>
      </c>
      <c r="D91" s="190" t="s">
        <v>595</v>
      </c>
      <c r="E91" s="423">
        <v>4961</v>
      </c>
      <c r="F91" s="423">
        <f>SUM(E91*C91)</f>
        <v>198440</v>
      </c>
      <c r="G91" s="650" t="s">
        <v>508</v>
      </c>
      <c r="H91" s="651"/>
      <c r="I91" s="420">
        <f>SUM(H91+F91)</f>
        <v>198440</v>
      </c>
      <c r="J91" s="55"/>
      <c r="K91" s="191"/>
    </row>
    <row r="92" spans="1:13">
      <c r="A92" s="568"/>
      <c r="B92" s="55" t="s">
        <v>633</v>
      </c>
      <c r="C92" s="580">
        <v>4</v>
      </c>
      <c r="D92" s="190" t="s">
        <v>595</v>
      </c>
      <c r="E92" s="423">
        <v>12100</v>
      </c>
      <c r="F92" s="423">
        <f>SUM(E92*C92)</f>
        <v>48400</v>
      </c>
      <c r="G92" s="650" t="s">
        <v>508</v>
      </c>
      <c r="H92" s="651"/>
      <c r="I92" s="420">
        <f>SUM(H92+F92)</f>
        <v>48400</v>
      </c>
      <c r="J92" s="55"/>
      <c r="K92" s="191"/>
    </row>
    <row r="93" spans="1:13">
      <c r="A93" s="568"/>
      <c r="B93" s="55" t="s">
        <v>636</v>
      </c>
      <c r="C93" s="580">
        <v>1</v>
      </c>
      <c r="D93" s="190" t="s">
        <v>19</v>
      </c>
      <c r="E93" s="423">
        <v>33714</v>
      </c>
      <c r="F93" s="423">
        <f>SUM(E93*C93)</f>
        <v>33714</v>
      </c>
      <c r="G93" s="650" t="s">
        <v>508</v>
      </c>
      <c r="H93" s="651"/>
      <c r="I93" s="420">
        <f>SUM(H93+F93)</f>
        <v>33714</v>
      </c>
      <c r="J93" s="55"/>
      <c r="K93" s="626">
        <f>SUM(C67:C70)</f>
        <v>346</v>
      </c>
      <c r="L93" s="8">
        <v>28</v>
      </c>
      <c r="M93" s="626">
        <f>SUM(K93:L93)</f>
        <v>374</v>
      </c>
    </row>
    <row r="94" spans="1:13">
      <c r="A94" s="568"/>
      <c r="B94" s="55" t="s">
        <v>530</v>
      </c>
      <c r="C94" s="580">
        <v>438</v>
      </c>
      <c r="D94" s="190" t="s">
        <v>250</v>
      </c>
      <c r="E94" s="207" t="s">
        <v>260</v>
      </c>
      <c r="F94" s="207" t="s">
        <v>260</v>
      </c>
      <c r="G94" s="423">
        <v>99</v>
      </c>
      <c r="H94" s="423">
        <f>SUM(G94*C94)</f>
        <v>43362</v>
      </c>
      <c r="I94" s="420">
        <f>SUM(H94)</f>
        <v>43362</v>
      </c>
      <c r="J94" s="55"/>
    </row>
    <row r="95" spans="1:13">
      <c r="A95" s="568"/>
      <c r="B95" s="55" t="s">
        <v>531</v>
      </c>
      <c r="C95" s="580">
        <v>185</v>
      </c>
      <c r="D95" s="190" t="s">
        <v>250</v>
      </c>
      <c r="E95" s="423">
        <v>537</v>
      </c>
      <c r="F95" s="423">
        <f>SUM(E95*C95)</f>
        <v>99345</v>
      </c>
      <c r="G95" s="423">
        <v>91</v>
      </c>
      <c r="H95" s="423">
        <f>SUM(G95*C95)</f>
        <v>16835</v>
      </c>
      <c r="I95" s="420">
        <f>SUM(H95+F95)</f>
        <v>116180</v>
      </c>
      <c r="J95" s="55"/>
    </row>
    <row r="96" spans="1:13">
      <c r="A96" s="568"/>
      <c r="B96" s="55"/>
      <c r="C96" s="580"/>
      <c r="D96" s="190"/>
      <c r="E96" s="423"/>
      <c r="F96" s="423"/>
      <c r="G96" s="423"/>
      <c r="H96" s="423"/>
      <c r="I96" s="420"/>
      <c r="J96" s="55"/>
    </row>
    <row r="97" spans="1:13">
      <c r="A97" s="568"/>
      <c r="B97" s="55"/>
      <c r="C97" s="55"/>
      <c r="D97" s="55"/>
      <c r="E97" s="519"/>
      <c r="F97" s="519"/>
      <c r="G97" s="519"/>
      <c r="H97" s="519"/>
      <c r="I97" s="519"/>
      <c r="J97" s="55"/>
    </row>
    <row r="98" spans="1:13">
      <c r="A98" s="568"/>
      <c r="B98" s="55"/>
      <c r="C98" s="55"/>
      <c r="D98" s="55"/>
      <c r="E98" s="519"/>
      <c r="F98" s="519"/>
      <c r="G98" s="519"/>
      <c r="H98" s="519"/>
      <c r="I98" s="519"/>
      <c r="J98" s="55"/>
    </row>
    <row r="99" spans="1:13">
      <c r="A99" s="568"/>
      <c r="B99" s="55"/>
      <c r="C99" s="55"/>
      <c r="D99" s="55"/>
      <c r="E99" s="519"/>
      <c r="F99" s="519"/>
      <c r="G99" s="519"/>
      <c r="H99" s="519"/>
      <c r="I99" s="519"/>
      <c r="J99" s="55"/>
    </row>
    <row r="100" spans="1:13">
      <c r="A100" s="568"/>
      <c r="B100" s="55"/>
      <c r="C100" s="55"/>
      <c r="D100" s="55"/>
      <c r="E100" s="519"/>
      <c r="F100" s="519"/>
      <c r="G100" s="519"/>
      <c r="H100" s="519"/>
      <c r="I100" s="519"/>
      <c r="J100" s="55"/>
    </row>
    <row r="101" spans="1:13">
      <c r="A101" s="568"/>
      <c r="B101" s="57" t="s">
        <v>18</v>
      </c>
      <c r="C101" s="86"/>
      <c r="D101" s="57"/>
      <c r="E101" s="81"/>
      <c r="F101" s="433">
        <f>SUM(F85:F100)</f>
        <v>585819</v>
      </c>
      <c r="G101" s="434"/>
      <c r="H101" s="433">
        <f>SUM(H85:H100)</f>
        <v>60197</v>
      </c>
      <c r="I101" s="416"/>
      <c r="J101" s="55"/>
      <c r="K101" s="461">
        <f>+H101+F101</f>
        <v>646016</v>
      </c>
    </row>
    <row r="102" spans="1:13">
      <c r="A102" s="568"/>
      <c r="B102" s="412" t="s">
        <v>80</v>
      </c>
      <c r="C102" s="86"/>
      <c r="D102" s="57"/>
      <c r="E102" s="81"/>
      <c r="F102" s="415"/>
      <c r="G102" s="434"/>
      <c r="H102" s="435"/>
      <c r="I102" s="436">
        <f>SUM(I85:I100)</f>
        <v>646016</v>
      </c>
      <c r="J102" s="55"/>
      <c r="K102" s="627">
        <f>+I102+I83+I64+I45+I26</f>
        <v>1379086.85</v>
      </c>
      <c r="L102" s="66" t="s">
        <v>637</v>
      </c>
      <c r="M102" s="468"/>
    </row>
    <row r="104" spans="1:13">
      <c r="K104" s="471">
        <f>I102+I83</f>
        <v>1118675</v>
      </c>
    </row>
  </sheetData>
  <mergeCells count="18">
    <mergeCell ref="A1:J1"/>
    <mergeCell ref="E6:F6"/>
    <mergeCell ref="G6:H6"/>
    <mergeCell ref="G77:H77"/>
    <mergeCell ref="G87:H87"/>
    <mergeCell ref="G91:H91"/>
    <mergeCell ref="G92:H92"/>
    <mergeCell ref="G93:H93"/>
    <mergeCell ref="G31:H31"/>
    <mergeCell ref="G37:H37"/>
    <mergeCell ref="G56:H56"/>
    <mergeCell ref="G57:H57"/>
    <mergeCell ref="G58:H58"/>
    <mergeCell ref="G72:H72"/>
    <mergeCell ref="G73:H73"/>
    <mergeCell ref="G75:H75"/>
    <mergeCell ref="G88:H88"/>
    <mergeCell ref="G89:H89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30"/>
  <sheetViews>
    <sheetView view="pageBreakPreview" zoomScaleNormal="100" zoomScaleSheetLayoutView="100" workbookViewId="0">
      <selection activeCell="F26" sqref="F26"/>
    </sheetView>
  </sheetViews>
  <sheetFormatPr defaultColWidth="9.140625" defaultRowHeight="20.25"/>
  <cols>
    <col min="1" max="1" width="10.42578125" style="341" customWidth="1"/>
    <col min="2" max="2" width="56.140625" style="339" customWidth="1"/>
    <col min="3" max="3" width="8.5703125" style="339" customWidth="1"/>
    <col min="4" max="4" width="7" style="339" customWidth="1"/>
    <col min="5" max="8" width="11.7109375" style="339" customWidth="1"/>
    <col min="9" max="9" width="13.140625" style="339" customWidth="1"/>
    <col min="10" max="10" width="8.85546875" style="339" customWidth="1"/>
    <col min="11" max="11" width="12" style="339" customWidth="1"/>
    <col min="12" max="12" width="13.85546875" style="340" bestFit="1" customWidth="1"/>
    <col min="13" max="14" width="13.85546875" style="339" bestFit="1" customWidth="1"/>
    <col min="15" max="16384" width="9.140625" style="339"/>
  </cols>
  <sheetData>
    <row r="1" spans="1:12" s="288" customFormat="1" ht="18">
      <c r="A1" s="654" t="s">
        <v>88</v>
      </c>
      <c r="B1" s="654"/>
      <c r="C1" s="654"/>
      <c r="D1" s="654"/>
      <c r="E1" s="654"/>
      <c r="F1" s="654"/>
      <c r="G1" s="654"/>
      <c r="H1" s="654"/>
      <c r="I1" s="654"/>
      <c r="J1" s="654"/>
    </row>
    <row r="2" spans="1:12" s="295" customFormat="1" ht="18">
      <c r="A2" s="289" t="s">
        <v>86</v>
      </c>
      <c r="B2" s="290" t="str">
        <f>'ใบสรุปแบบ ปร.5 (ก) '!B2</f>
        <v>งานอาคาร</v>
      </c>
      <c r="C2" s="291"/>
      <c r="D2" s="292"/>
      <c r="E2" s="292"/>
      <c r="F2" s="293"/>
      <c r="G2" s="293"/>
      <c r="H2" s="294"/>
      <c r="I2" s="292"/>
      <c r="J2" s="292"/>
    </row>
    <row r="3" spans="1:12" s="288" customFormat="1" ht="18">
      <c r="A3" s="289" t="s">
        <v>87</v>
      </c>
      <c r="B3" s="290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C3" s="294" t="s">
        <v>14</v>
      </c>
      <c r="D3" s="290" t="str">
        <f>+'แบบ ปร.6'!B4</f>
        <v>62-2-101,63-5-006,62-4-030</v>
      </c>
      <c r="E3" s="296"/>
      <c r="F3" s="293"/>
      <c r="G3" s="293"/>
      <c r="H3" s="292"/>
      <c r="I3" s="292"/>
      <c r="J3" s="293"/>
    </row>
    <row r="4" spans="1:12" s="295" customFormat="1" ht="18">
      <c r="A4" s="289" t="s">
        <v>81</v>
      </c>
      <c r="B4" s="290" t="str">
        <f>+'แบบ ปร.6'!B3</f>
        <v>จ.ชลบุรี</v>
      </c>
      <c r="C4" s="293" t="s">
        <v>206</v>
      </c>
      <c r="D4" s="293"/>
      <c r="F4" s="297" t="str">
        <f>+'แบบ ปร.6'!C5</f>
        <v>สอ.รฝ.</v>
      </c>
      <c r="G4" s="292"/>
      <c r="H4" s="292"/>
      <c r="I4" s="292"/>
      <c r="J4" s="292"/>
    </row>
    <row r="5" spans="1:12" s="295" customFormat="1" ht="18.75" thickBot="1">
      <c r="A5" s="370" t="s">
        <v>149</v>
      </c>
      <c r="B5" s="298" t="s">
        <v>114</v>
      </c>
      <c r="C5" s="299">
        <f>+'แบบ ปร.6'!B7</f>
        <v>0</v>
      </c>
      <c r="D5" s="298"/>
      <c r="E5" s="299"/>
      <c r="F5" s="299"/>
      <c r="G5" s="299"/>
      <c r="H5" s="299"/>
      <c r="I5" s="300"/>
      <c r="J5" s="300"/>
    </row>
    <row r="6" spans="1:12" s="307" customFormat="1" ht="18.75" thickTop="1">
      <c r="A6" s="301" t="s">
        <v>89</v>
      </c>
      <c r="B6" s="302" t="s">
        <v>1</v>
      </c>
      <c r="C6" s="303" t="s">
        <v>2</v>
      </c>
      <c r="D6" s="304" t="s">
        <v>3</v>
      </c>
      <c r="E6" s="655" t="s">
        <v>68</v>
      </c>
      <c r="F6" s="656"/>
      <c r="G6" s="655" t="s">
        <v>67</v>
      </c>
      <c r="H6" s="656"/>
      <c r="I6" s="305" t="s">
        <v>66</v>
      </c>
      <c r="J6" s="306" t="s">
        <v>8</v>
      </c>
      <c r="L6" s="288"/>
    </row>
    <row r="7" spans="1:12" s="307" customFormat="1" ht="18.75" thickBot="1">
      <c r="A7" s="308"/>
      <c r="B7" s="309"/>
      <c r="C7" s="310"/>
      <c r="D7" s="309"/>
      <c r="E7" s="311" t="s">
        <v>4</v>
      </c>
      <c r="F7" s="311" t="s">
        <v>5</v>
      </c>
      <c r="G7" s="311" t="s">
        <v>4</v>
      </c>
      <c r="H7" s="312" t="s">
        <v>5</v>
      </c>
      <c r="I7" s="313" t="s">
        <v>79</v>
      </c>
      <c r="J7" s="314"/>
      <c r="L7" s="288"/>
    </row>
    <row r="8" spans="1:12" s="307" customFormat="1" ht="18.75" thickTop="1">
      <c r="A8" s="315"/>
      <c r="B8" s="371" t="s">
        <v>212</v>
      </c>
      <c r="C8" s="316"/>
      <c r="D8" s="317"/>
      <c r="E8" s="318"/>
      <c r="F8" s="318"/>
      <c r="G8" s="318"/>
      <c r="H8" s="319"/>
      <c r="I8" s="305"/>
      <c r="J8" s="317"/>
      <c r="L8" s="288"/>
    </row>
    <row r="9" spans="1:12" s="307" customFormat="1" ht="18">
      <c r="A9" s="320"/>
      <c r="B9" s="323"/>
      <c r="C9" s="265"/>
      <c r="D9" s="265"/>
      <c r="E9" s="278"/>
      <c r="F9" s="278"/>
      <c r="G9" s="328"/>
      <c r="H9" s="328"/>
      <c r="I9" s="325"/>
      <c r="J9" s="322"/>
      <c r="L9" s="288"/>
    </row>
    <row r="10" spans="1:12" s="326" customFormat="1" ht="18">
      <c r="A10" s="320"/>
      <c r="B10" s="323"/>
      <c r="C10" s="329"/>
      <c r="D10" s="265"/>
      <c r="E10" s="278"/>
      <c r="F10" s="278"/>
      <c r="G10" s="328"/>
      <c r="H10" s="328"/>
      <c r="I10" s="325"/>
      <c r="J10" s="322"/>
      <c r="L10" s="327"/>
    </row>
    <row r="11" spans="1:12" s="326" customFormat="1" ht="18">
      <c r="A11" s="320"/>
      <c r="B11" s="323"/>
      <c r="C11" s="329"/>
      <c r="D11" s="265"/>
      <c r="E11" s="278"/>
      <c r="F11" s="278"/>
      <c r="G11" s="328"/>
      <c r="H11" s="328"/>
      <c r="I11" s="325"/>
      <c r="J11" s="322"/>
      <c r="L11" s="327"/>
    </row>
    <row r="12" spans="1:12" s="326" customFormat="1" ht="18">
      <c r="A12" s="320"/>
      <c r="B12" s="323"/>
      <c r="C12" s="265"/>
      <c r="D12" s="265"/>
      <c r="E12" s="278"/>
      <c r="F12" s="278"/>
      <c r="G12" s="328"/>
      <c r="H12" s="328"/>
      <c r="I12" s="325"/>
      <c r="J12" s="322"/>
      <c r="L12" s="327"/>
    </row>
    <row r="13" spans="1:12" s="326" customFormat="1" ht="18">
      <c r="A13" s="320"/>
      <c r="B13" s="323"/>
      <c r="C13" s="338"/>
      <c r="D13" s="265"/>
      <c r="E13" s="278"/>
      <c r="F13" s="278"/>
      <c r="G13" s="328"/>
      <c r="H13" s="328"/>
      <c r="I13" s="325"/>
      <c r="J13" s="322"/>
      <c r="L13" s="327"/>
    </row>
    <row r="14" spans="1:12" s="326" customFormat="1" ht="18">
      <c r="A14" s="320"/>
      <c r="B14" s="323"/>
      <c r="C14" s="338"/>
      <c r="D14" s="265"/>
      <c r="E14" s="278"/>
      <c r="F14" s="278"/>
      <c r="G14" s="328"/>
      <c r="H14" s="328"/>
      <c r="I14" s="325"/>
      <c r="J14" s="322"/>
      <c r="L14" s="327"/>
    </row>
    <row r="15" spans="1:12" s="307" customFormat="1" ht="18">
      <c r="A15" s="320"/>
      <c r="B15" s="323"/>
      <c r="C15" s="338"/>
      <c r="D15" s="265"/>
      <c r="E15" s="278"/>
      <c r="F15" s="278"/>
      <c r="G15" s="328"/>
      <c r="H15" s="328"/>
      <c r="I15" s="325"/>
      <c r="J15" s="322"/>
      <c r="L15" s="288"/>
    </row>
    <row r="16" spans="1:12" s="307" customFormat="1" ht="18">
      <c r="A16" s="320"/>
      <c r="B16" s="323"/>
      <c r="C16" s="338"/>
      <c r="D16" s="265"/>
      <c r="E16" s="278"/>
      <c r="F16" s="278"/>
      <c r="G16" s="328"/>
      <c r="H16" s="328"/>
      <c r="I16" s="325"/>
      <c r="J16" s="322"/>
      <c r="L16" s="288"/>
    </row>
    <row r="17" spans="1:12" s="307" customFormat="1" ht="18">
      <c r="A17" s="320"/>
      <c r="B17" s="323"/>
      <c r="C17" s="338"/>
      <c r="D17" s="265"/>
      <c r="E17" s="278"/>
      <c r="F17" s="278"/>
      <c r="G17" s="328"/>
      <c r="H17" s="328"/>
      <c r="I17" s="325"/>
      <c r="J17" s="322"/>
      <c r="L17" s="288"/>
    </row>
    <row r="18" spans="1:12" s="307" customFormat="1" ht="18">
      <c r="A18" s="320"/>
      <c r="B18" s="323"/>
      <c r="C18" s="338"/>
      <c r="D18" s="265"/>
      <c r="E18" s="278"/>
      <c r="F18" s="278"/>
      <c r="G18" s="328"/>
      <c r="H18" s="328"/>
      <c r="I18" s="325"/>
      <c r="J18" s="322"/>
      <c r="L18" s="288"/>
    </row>
    <row r="19" spans="1:12" s="307" customFormat="1" ht="18">
      <c r="A19" s="320"/>
      <c r="B19" s="323"/>
      <c r="C19" s="265"/>
      <c r="D19" s="265"/>
      <c r="E19" s="278"/>
      <c r="F19" s="278"/>
      <c r="G19" s="328"/>
      <c r="H19" s="328"/>
      <c r="I19" s="325"/>
      <c r="J19" s="322"/>
      <c r="L19" s="288"/>
    </row>
    <row r="20" spans="1:12" s="326" customFormat="1" ht="18">
      <c r="A20" s="320"/>
      <c r="B20" s="323"/>
      <c r="C20" s="329"/>
      <c r="D20" s="265"/>
      <c r="E20" s="278"/>
      <c r="F20" s="278"/>
      <c r="G20" s="328"/>
      <c r="H20" s="328"/>
      <c r="I20" s="325"/>
      <c r="J20" s="322"/>
      <c r="L20" s="327"/>
    </row>
    <row r="21" spans="1:12" s="307" customFormat="1" ht="18">
      <c r="A21" s="320"/>
      <c r="B21" s="323"/>
      <c r="C21" s="329"/>
      <c r="D21" s="265"/>
      <c r="E21" s="278"/>
      <c r="F21" s="278"/>
      <c r="G21" s="328"/>
      <c r="H21" s="328"/>
      <c r="I21" s="325"/>
      <c r="J21" s="322"/>
      <c r="L21" s="288"/>
    </row>
    <row r="22" spans="1:12" s="307" customFormat="1" ht="18">
      <c r="A22" s="320"/>
      <c r="B22" s="323"/>
      <c r="C22" s="329"/>
      <c r="D22" s="265"/>
      <c r="E22" s="278"/>
      <c r="F22" s="278"/>
      <c r="G22" s="328"/>
      <c r="H22" s="328"/>
      <c r="I22" s="325"/>
      <c r="J22" s="322"/>
      <c r="L22" s="288"/>
    </row>
    <row r="23" spans="1:12" s="307" customFormat="1" ht="18">
      <c r="A23" s="320"/>
      <c r="B23" s="323"/>
      <c r="C23" s="329"/>
      <c r="D23" s="265"/>
      <c r="E23" s="333"/>
      <c r="F23" s="278"/>
      <c r="G23" s="324"/>
      <c r="H23" s="324"/>
      <c r="I23" s="321"/>
      <c r="J23" s="322"/>
      <c r="K23" s="330"/>
      <c r="L23" s="288"/>
    </row>
    <row r="24" spans="1:12" s="307" customFormat="1" ht="18">
      <c r="A24" s="320"/>
      <c r="B24" s="323"/>
      <c r="C24" s="329"/>
      <c r="D24" s="265"/>
      <c r="E24" s="333"/>
      <c r="F24" s="278"/>
      <c r="G24" s="324"/>
      <c r="H24" s="324"/>
      <c r="I24" s="321"/>
      <c r="J24" s="322"/>
      <c r="K24" s="330"/>
      <c r="L24" s="288"/>
    </row>
    <row r="25" spans="1:12" s="307" customFormat="1" ht="18">
      <c r="A25" s="320"/>
      <c r="B25" s="323"/>
      <c r="C25" s="329"/>
      <c r="D25" s="265"/>
      <c r="E25" s="333"/>
      <c r="F25" s="278"/>
      <c r="G25" s="324"/>
      <c r="H25" s="324"/>
      <c r="I25" s="321"/>
      <c r="J25" s="322"/>
      <c r="K25" s="330"/>
      <c r="L25" s="288"/>
    </row>
    <row r="26" spans="1:12" s="307" customFormat="1" ht="18">
      <c r="A26" s="320"/>
      <c r="B26" s="323"/>
      <c r="C26" s="329"/>
      <c r="D26" s="265"/>
      <c r="E26" s="333"/>
      <c r="F26" s="278"/>
      <c r="G26" s="324"/>
      <c r="H26" s="324"/>
      <c r="I26" s="321"/>
      <c r="J26" s="322"/>
      <c r="K26" s="330"/>
      <c r="L26" s="288"/>
    </row>
    <row r="27" spans="1:12" s="307" customFormat="1" ht="18">
      <c r="A27" s="320"/>
      <c r="B27" s="323"/>
      <c r="C27" s="329"/>
      <c r="D27" s="265"/>
      <c r="E27" s="333"/>
      <c r="F27" s="278"/>
      <c r="G27" s="324"/>
      <c r="H27" s="324"/>
      <c r="I27" s="321"/>
      <c r="J27" s="322"/>
      <c r="K27" s="330"/>
      <c r="L27" s="288"/>
    </row>
    <row r="28" spans="1:12" s="307" customFormat="1" ht="18">
      <c r="A28" s="320"/>
      <c r="B28" s="323"/>
      <c r="C28" s="329"/>
      <c r="D28" s="265"/>
      <c r="E28" s="333"/>
      <c r="F28" s="278"/>
      <c r="G28" s="324"/>
      <c r="H28" s="324"/>
      <c r="I28" s="321"/>
      <c r="J28" s="322"/>
      <c r="K28" s="330"/>
      <c r="L28" s="288"/>
    </row>
    <row r="29" spans="1:12" s="307" customFormat="1">
      <c r="A29" s="331"/>
      <c r="B29" s="332" t="s">
        <v>18</v>
      </c>
      <c r="C29" s="329"/>
      <c r="D29" s="265"/>
      <c r="E29" s="333"/>
      <c r="F29" s="334">
        <f>SUM(F9:F28)</f>
        <v>0</v>
      </c>
      <c r="G29" s="335"/>
      <c r="H29" s="334">
        <f>SUM(H10:H28)</f>
        <v>0</v>
      </c>
      <c r="I29" s="321"/>
      <c r="J29" s="322"/>
      <c r="K29" s="330">
        <f>+H29+F29</f>
        <v>0</v>
      </c>
      <c r="L29" s="288"/>
    </row>
    <row r="30" spans="1:12" s="307" customFormat="1" ht="18">
      <c r="A30" s="331"/>
      <c r="B30" s="320" t="s">
        <v>80</v>
      </c>
      <c r="C30" s="329"/>
      <c r="D30" s="265"/>
      <c r="E30" s="333"/>
      <c r="F30" s="278"/>
      <c r="G30" s="335"/>
      <c r="H30" s="336"/>
      <c r="I30" s="337">
        <f>SUM(I9:I28)</f>
        <v>0</v>
      </c>
      <c r="J30" s="322"/>
      <c r="K30" s="330"/>
      <c r="L30" s="288"/>
    </row>
  </sheetData>
  <mergeCells count="3">
    <mergeCell ref="A1:J1"/>
    <mergeCell ref="E6:F6"/>
    <mergeCell ref="G6:H6"/>
  </mergeCells>
  <pageMargins left="0.35433070866141736" right="0.27559055118110237" top="0.39370078740157483" bottom="0.43307086614173229" header="0.11811023622047245" footer="0.31496062992125984"/>
  <pageSetup paperSize="9" scale="70" orientation="landscape" horizontalDpi="1200" verticalDpi="1200" r:id="rId1"/>
  <headerFooter>
    <oddHeader>&amp;Rแบบ ปร. 4 แผ่นที่ 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BreakPreview" zoomScaleNormal="100" zoomScaleSheetLayoutView="100" workbookViewId="0">
      <selection activeCell="B3" sqref="B3"/>
    </sheetView>
  </sheetViews>
  <sheetFormatPr defaultColWidth="9.140625" defaultRowHeight="21"/>
  <cols>
    <col min="1" max="1" width="13.140625" style="95" customWidth="1"/>
    <col min="2" max="2" width="64.42578125" style="89" customWidth="1"/>
    <col min="3" max="3" width="15.5703125" style="89" customWidth="1"/>
    <col min="4" max="4" width="11.7109375" style="89" customWidth="1"/>
    <col min="5" max="5" width="24.140625" style="89" customWidth="1"/>
    <col min="6" max="6" width="17.5703125" style="89" customWidth="1"/>
    <col min="7" max="7" width="12" style="89" customWidth="1"/>
    <col min="8" max="8" width="13.85546875" style="9" bestFit="1" customWidth="1"/>
    <col min="9" max="10" width="13.85546875" style="89" bestFit="1" customWidth="1"/>
    <col min="11" max="16384" width="9.140625" style="89"/>
  </cols>
  <sheetData>
    <row r="1" spans="1:8" s="8" customFormat="1" ht="23.25">
      <c r="A1" s="658" t="s">
        <v>88</v>
      </c>
      <c r="B1" s="658"/>
      <c r="C1" s="658"/>
      <c r="D1" s="658"/>
      <c r="E1" s="658"/>
      <c r="F1" s="658"/>
    </row>
    <row r="2" spans="1:8" s="8" customFormat="1">
      <c r="A2" s="657" t="s">
        <v>25</v>
      </c>
      <c r="B2" s="657"/>
      <c r="C2" s="657"/>
      <c r="D2" s="657"/>
      <c r="E2" s="657"/>
      <c r="F2" s="657"/>
    </row>
    <row r="3" spans="1:8" s="66" customFormat="1" ht="18.75">
      <c r="A3" s="93" t="s">
        <v>86</v>
      </c>
      <c r="B3" s="138" t="str">
        <f>'ใบสรุปแบบ ปร.5 (ก) '!B2</f>
        <v>งานอาคาร</v>
      </c>
      <c r="C3" s="64"/>
      <c r="D3" s="63"/>
      <c r="E3" s="63"/>
      <c r="F3" s="63"/>
    </row>
    <row r="4" spans="1:8" s="8" customFormat="1" ht="18.75">
      <c r="A4" s="93" t="s">
        <v>87</v>
      </c>
      <c r="B4" s="138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C4" s="65" t="s">
        <v>14</v>
      </c>
      <c r="D4" s="138" t="str">
        <f>+'แบบ ปร.6'!B4</f>
        <v>62-2-101,63-5-006,62-4-030</v>
      </c>
      <c r="E4" s="100"/>
      <c r="F4" s="62"/>
    </row>
    <row r="5" spans="1:8" s="66" customFormat="1" ht="18.75">
      <c r="A5" s="93" t="s">
        <v>81</v>
      </c>
      <c r="B5" s="138" t="str">
        <f>+'แบบ ปร.6'!B3</f>
        <v>จ.ชลบุรี</v>
      </c>
      <c r="C5" s="62" t="s">
        <v>84</v>
      </c>
      <c r="D5" s="62"/>
      <c r="E5" s="137" t="str">
        <f>+'แบบ ปร.6'!C5</f>
        <v>สอ.รฝ.</v>
      </c>
      <c r="F5" s="63"/>
    </row>
    <row r="6" spans="1:8" s="66" customFormat="1" ht="19.5" thickBot="1">
      <c r="A6" s="187" t="s">
        <v>113</v>
      </c>
      <c r="B6" s="188" t="s">
        <v>114</v>
      </c>
      <c r="C6" s="125">
        <f>+'แบบ ปร.6'!B7</f>
        <v>0</v>
      </c>
      <c r="D6" s="136"/>
      <c r="E6" s="125"/>
      <c r="F6" s="126"/>
    </row>
    <row r="7" spans="1:8" s="10" customFormat="1" ht="19.5" thickTop="1">
      <c r="A7" s="120" t="s">
        <v>89</v>
      </c>
      <c r="B7" s="121" t="s">
        <v>1</v>
      </c>
      <c r="C7" s="140" t="s">
        <v>2</v>
      </c>
      <c r="D7" s="121" t="s">
        <v>3</v>
      </c>
      <c r="E7" s="139" t="s">
        <v>102</v>
      </c>
      <c r="F7" s="69" t="s">
        <v>8</v>
      </c>
      <c r="H7" s="8"/>
    </row>
    <row r="8" spans="1:8" s="10" customFormat="1" ht="19.5" thickBot="1">
      <c r="A8" s="129"/>
      <c r="B8" s="130"/>
      <c r="C8" s="131"/>
      <c r="D8" s="130"/>
      <c r="E8" s="132" t="s">
        <v>103</v>
      </c>
      <c r="F8" s="135"/>
      <c r="H8" s="8"/>
    </row>
    <row r="9" spans="1:8" s="10" customFormat="1" ht="19.5" thickTop="1">
      <c r="A9" s="90">
        <v>1</v>
      </c>
      <c r="B9" s="56"/>
      <c r="C9" s="57">
        <v>1</v>
      </c>
      <c r="D9" s="57" t="s">
        <v>19</v>
      </c>
      <c r="E9" s="60">
        <v>5000</v>
      </c>
      <c r="F9" s="55"/>
      <c r="H9" s="8"/>
    </row>
    <row r="10" spans="1:8" s="28" customFormat="1" ht="18.75">
      <c r="A10" s="90">
        <v>2</v>
      </c>
      <c r="B10" s="56"/>
      <c r="C10" s="82">
        <v>2</v>
      </c>
      <c r="D10" s="57" t="s">
        <v>19</v>
      </c>
      <c r="E10" s="60">
        <v>3000</v>
      </c>
      <c r="F10" s="55"/>
      <c r="H10" s="27"/>
    </row>
    <row r="11" spans="1:8" s="28" customFormat="1" ht="18.75">
      <c r="A11" s="90">
        <v>3</v>
      </c>
      <c r="B11" s="56"/>
      <c r="C11" s="57">
        <v>3</v>
      </c>
      <c r="D11" s="57" t="s">
        <v>19</v>
      </c>
      <c r="E11" s="60">
        <v>2000</v>
      </c>
      <c r="F11" s="55"/>
      <c r="H11" s="27"/>
    </row>
    <row r="12" spans="1:8" s="28" customFormat="1" ht="18.75">
      <c r="A12" s="90">
        <v>4</v>
      </c>
      <c r="B12" s="56"/>
      <c r="C12" s="86">
        <v>2</v>
      </c>
      <c r="D12" s="57" t="s">
        <v>19</v>
      </c>
      <c r="E12" s="60">
        <v>1000</v>
      </c>
      <c r="F12" s="55"/>
      <c r="H12" s="27"/>
    </row>
    <row r="13" spans="1:8" s="28" customFormat="1" ht="18.75">
      <c r="A13" s="90"/>
      <c r="B13" s="56"/>
      <c r="C13" s="57"/>
      <c r="D13" s="57"/>
      <c r="E13" s="59"/>
      <c r="F13" s="55"/>
      <c r="H13" s="27"/>
    </row>
    <row r="14" spans="1:8" s="28" customFormat="1" ht="18.75">
      <c r="A14" s="90"/>
      <c r="B14" s="56"/>
      <c r="C14" s="82"/>
      <c r="D14" s="57"/>
      <c r="E14" s="59"/>
      <c r="F14" s="55"/>
      <c r="H14" s="27"/>
    </row>
    <row r="15" spans="1:8" s="28" customFormat="1" ht="18.75">
      <c r="A15" s="90"/>
      <c r="B15" s="56"/>
      <c r="C15" s="82"/>
      <c r="D15" s="57"/>
      <c r="E15" s="59"/>
      <c r="F15" s="55"/>
      <c r="H15" s="27"/>
    </row>
    <row r="16" spans="1:8" s="28" customFormat="1" ht="18.75">
      <c r="A16" s="90"/>
      <c r="B16" s="56"/>
      <c r="C16" s="82"/>
      <c r="D16" s="57"/>
      <c r="E16" s="59"/>
      <c r="F16" s="55"/>
      <c r="H16" s="27"/>
    </row>
    <row r="17" spans="1:8" s="28" customFormat="1" ht="18.75">
      <c r="A17" s="90"/>
      <c r="B17" s="56"/>
      <c r="C17" s="82"/>
      <c r="D17" s="57"/>
      <c r="E17" s="59"/>
      <c r="F17" s="55"/>
      <c r="H17" s="27"/>
    </row>
    <row r="18" spans="1:8" s="28" customFormat="1" ht="18.75">
      <c r="A18" s="90"/>
      <c r="B18" s="56"/>
      <c r="C18" s="82"/>
      <c r="D18" s="57"/>
      <c r="E18" s="59"/>
      <c r="F18" s="55"/>
      <c r="H18" s="27"/>
    </row>
    <row r="19" spans="1:8" s="28" customFormat="1" ht="18.75">
      <c r="A19" s="90"/>
      <c r="B19" s="56"/>
      <c r="C19" s="82"/>
      <c r="D19" s="57"/>
      <c r="E19" s="59"/>
      <c r="F19" s="55"/>
      <c r="H19" s="27"/>
    </row>
    <row r="20" spans="1:8" s="10" customFormat="1" ht="18.75">
      <c r="A20" s="90"/>
      <c r="B20" s="56"/>
      <c r="C20" s="82"/>
      <c r="D20" s="57"/>
      <c r="E20" s="59"/>
      <c r="F20" s="55"/>
      <c r="H20" s="8"/>
    </row>
    <row r="21" spans="1:8" s="10" customFormat="1" ht="18.75">
      <c r="A21" s="90"/>
      <c r="B21" s="56"/>
      <c r="C21" s="82"/>
      <c r="D21" s="57"/>
      <c r="E21" s="59"/>
      <c r="F21" s="55"/>
      <c r="H21" s="8"/>
    </row>
    <row r="22" spans="1:8" s="10" customFormat="1" ht="18.75">
      <c r="A22" s="90"/>
      <c r="B22" s="56"/>
      <c r="C22" s="82"/>
      <c r="D22" s="57"/>
      <c r="E22" s="59"/>
      <c r="F22" s="55"/>
      <c r="H22" s="8"/>
    </row>
    <row r="23" spans="1:8" s="10" customFormat="1" ht="18.75">
      <c r="A23" s="90"/>
      <c r="B23" s="56"/>
      <c r="C23" s="82"/>
      <c r="D23" s="57"/>
      <c r="E23" s="59"/>
      <c r="F23" s="55"/>
      <c r="H23" s="8"/>
    </row>
    <row r="24" spans="1:8" s="10" customFormat="1" ht="18.75">
      <c r="A24" s="90"/>
      <c r="B24" s="56"/>
      <c r="C24" s="57"/>
      <c r="D24" s="57"/>
      <c r="E24" s="59"/>
      <c r="F24" s="55"/>
      <c r="H24" s="8"/>
    </row>
    <row r="25" spans="1:8" s="28" customFormat="1" ht="18.75">
      <c r="A25" s="90"/>
      <c r="B25" s="56"/>
      <c r="C25" s="86"/>
      <c r="D25" s="57"/>
      <c r="E25" s="59"/>
      <c r="F25" s="55"/>
      <c r="H25" s="27"/>
    </row>
    <row r="26" spans="1:8" s="10" customFormat="1" ht="18.75">
      <c r="A26" s="90"/>
      <c r="B26" s="56"/>
      <c r="C26" s="86"/>
      <c r="D26" s="57"/>
      <c r="E26" s="59"/>
      <c r="F26" s="55"/>
      <c r="H26" s="8"/>
    </row>
    <row r="27" spans="1:8" s="10" customFormat="1">
      <c r="A27" s="94"/>
      <c r="B27" s="90" t="s">
        <v>104</v>
      </c>
      <c r="C27" s="86"/>
      <c r="D27" s="57"/>
      <c r="E27" s="141">
        <f>SUM(E4:E26)</f>
        <v>11000</v>
      </c>
      <c r="F27" s="55"/>
      <c r="G27" s="61"/>
      <c r="H27" s="8"/>
    </row>
    <row r="28" spans="1:8" s="10" customFormat="1" ht="18.75">
      <c r="A28" s="90"/>
      <c r="B28" s="56"/>
      <c r="C28" s="86"/>
      <c r="D28" s="57"/>
      <c r="E28" s="59"/>
      <c r="F28" s="55"/>
      <c r="G28" s="61"/>
      <c r="H28" s="8"/>
    </row>
    <row r="29" spans="1:8" s="10" customFormat="1" ht="18.75">
      <c r="A29" s="90"/>
      <c r="B29" s="56"/>
      <c r="C29" s="86"/>
      <c r="D29" s="57"/>
      <c r="E29" s="59"/>
      <c r="F29" s="55"/>
      <c r="G29" s="61"/>
      <c r="H29" s="8"/>
    </row>
  </sheetData>
  <mergeCells count="2">
    <mergeCell ref="A2:F2"/>
    <mergeCell ref="A1:F1"/>
  </mergeCells>
  <pageMargins left="0.7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( พ )แผ่นที่ 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view="pageBreakPreview" topLeftCell="A2" zoomScaleNormal="100" zoomScaleSheetLayoutView="100" workbookViewId="0">
      <selection activeCell="M11" sqref="M11"/>
    </sheetView>
  </sheetViews>
  <sheetFormatPr defaultColWidth="9.140625" defaultRowHeight="18"/>
  <cols>
    <col min="1" max="1" width="6.140625" style="1" customWidth="1"/>
    <col min="2" max="6" width="6.85546875" style="1" customWidth="1"/>
    <col min="7" max="7" width="7.7109375" style="1" customWidth="1"/>
    <col min="8" max="8" width="8.42578125" style="1" customWidth="1"/>
    <col min="9" max="11" width="11.7109375" style="1" customWidth="1"/>
    <col min="12" max="12" width="11.5703125" style="1" customWidth="1"/>
    <col min="13" max="13" width="67.28515625" style="1" customWidth="1"/>
    <col min="14" max="16384" width="9.140625" style="1"/>
  </cols>
  <sheetData>
    <row r="1" spans="1:12" ht="23.1" hidden="1" customHeight="1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0.25">
      <c r="A2" s="660" t="s">
        <v>41</v>
      </c>
      <c r="B2" s="660"/>
      <c r="C2" s="660"/>
      <c r="D2" s="660"/>
      <c r="E2" s="660"/>
      <c r="F2" s="660"/>
      <c r="G2" s="660"/>
      <c r="H2" s="660"/>
      <c r="I2" s="660"/>
      <c r="J2" s="660"/>
      <c r="K2" s="660"/>
      <c r="L2" s="660"/>
    </row>
    <row r="3" spans="1:12">
      <c r="A3" s="661" t="s">
        <v>42</v>
      </c>
      <c r="B3" s="661"/>
      <c r="C3" s="661"/>
      <c r="D3" s="661"/>
      <c r="E3" s="661"/>
      <c r="F3" s="661"/>
      <c r="G3" s="661"/>
      <c r="H3" s="661"/>
      <c r="I3" s="661"/>
      <c r="J3" s="661"/>
      <c r="K3" s="661"/>
      <c r="L3" s="661"/>
    </row>
    <row r="4" spans="1:12">
      <c r="A4" s="4" t="s">
        <v>105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31" t="s">
        <v>87</v>
      </c>
      <c r="B5" s="31"/>
      <c r="C5" s="31"/>
      <c r="D5" s="30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E5" s="31"/>
      <c r="F5" s="31"/>
      <c r="G5" s="31"/>
      <c r="H5" s="31"/>
      <c r="I5" s="35"/>
      <c r="J5" s="31"/>
      <c r="K5" s="31"/>
      <c r="L5" s="31"/>
    </row>
    <row r="6" spans="1:12">
      <c r="A6" s="31" t="s">
        <v>91</v>
      </c>
      <c r="B6" s="31"/>
      <c r="C6" s="31"/>
      <c r="D6" s="30" t="str">
        <f>+'แบบ ปร.6'!B3</f>
        <v>จ.ชลบุรี</v>
      </c>
      <c r="E6" s="31"/>
      <c r="F6" s="31"/>
      <c r="G6" s="31" t="s">
        <v>14</v>
      </c>
      <c r="H6" s="35" t="str">
        <f>+'แบบ ปร.6'!B4</f>
        <v>62-2-101,63-5-006,62-4-030</v>
      </c>
      <c r="J6" s="31"/>
      <c r="K6" s="31"/>
      <c r="L6" s="31"/>
    </row>
    <row r="7" spans="1:12">
      <c r="A7" s="31" t="s">
        <v>106</v>
      </c>
      <c r="B7" s="31"/>
      <c r="C7" s="31"/>
      <c r="D7" s="30" t="str">
        <f>+'แบบ ปร.6'!C5</f>
        <v>สอ.รฝ.</v>
      </c>
      <c r="E7" s="31"/>
      <c r="F7" s="4"/>
      <c r="G7" s="4"/>
      <c r="H7" s="31"/>
      <c r="I7" s="35"/>
      <c r="J7" s="31"/>
      <c r="K7" s="31"/>
      <c r="L7" s="31"/>
    </row>
    <row r="8" spans="1:12">
      <c r="A8" s="31" t="s">
        <v>107</v>
      </c>
      <c r="B8" s="31"/>
      <c r="C8" s="31"/>
      <c r="D8" s="143" t="s">
        <v>108</v>
      </c>
      <c r="E8" s="31"/>
      <c r="F8" s="31"/>
      <c r="G8" s="31"/>
      <c r="H8" s="31">
        <f>+'แบบ ปร.6'!B7</f>
        <v>0</v>
      </c>
      <c r="I8" s="31"/>
      <c r="J8" s="31"/>
      <c r="K8" s="31"/>
      <c r="L8" s="31"/>
    </row>
    <row r="9" spans="1:12" s="3" customFormat="1">
      <c r="A9" s="142" t="s">
        <v>37</v>
      </c>
      <c r="B9" s="31"/>
      <c r="C9" s="31"/>
      <c r="D9" s="31"/>
      <c r="E9" s="31"/>
      <c r="F9" s="31"/>
      <c r="G9" s="31"/>
      <c r="H9" s="31"/>
      <c r="I9" s="30"/>
      <c r="J9" s="30"/>
      <c r="K9" s="30"/>
      <c r="L9" s="30"/>
    </row>
    <row r="10" spans="1:12" s="32" customFormat="1">
      <c r="A10" s="36" t="s">
        <v>43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s="33" customFormat="1">
      <c r="A11" s="1" t="s">
        <v>45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4" t="s">
        <v>44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 t="s">
        <v>46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 t="s">
        <v>47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9" t="s">
        <v>65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2" s="3" customFormat="1">
      <c r="A16" s="38" t="s">
        <v>38</v>
      </c>
      <c r="B16" s="36"/>
      <c r="C16" s="36"/>
      <c r="D16" s="36"/>
      <c r="E16" s="36"/>
      <c r="F16" s="36"/>
      <c r="G16" s="36"/>
      <c r="H16" s="36"/>
      <c r="I16" s="38"/>
      <c r="J16" s="38"/>
      <c r="K16" s="38"/>
      <c r="L16" s="38"/>
    </row>
    <row r="17" spans="1:13">
      <c r="A17" s="39" t="s">
        <v>6</v>
      </c>
      <c r="B17" s="662" t="s">
        <v>27</v>
      </c>
      <c r="C17" s="662"/>
      <c r="D17" s="662"/>
      <c r="E17" s="662"/>
      <c r="F17" s="662"/>
      <c r="G17" s="662"/>
      <c r="H17" s="39" t="s">
        <v>2</v>
      </c>
      <c r="I17" s="39" t="s">
        <v>3</v>
      </c>
      <c r="J17" s="39" t="s">
        <v>28</v>
      </c>
      <c r="K17" s="39" t="s">
        <v>29</v>
      </c>
      <c r="L17" s="40" t="s">
        <v>8</v>
      </c>
    </row>
    <row r="18" spans="1:13">
      <c r="A18" s="41">
        <v>1</v>
      </c>
      <c r="B18" s="659" t="s">
        <v>30</v>
      </c>
      <c r="C18" s="659"/>
      <c r="D18" s="659"/>
      <c r="E18" s="659"/>
      <c r="F18" s="659"/>
      <c r="G18" s="659"/>
      <c r="H18" s="39"/>
      <c r="I18" s="39"/>
      <c r="J18" s="39"/>
      <c r="K18" s="39"/>
      <c r="L18" s="39"/>
    </row>
    <row r="19" spans="1:13">
      <c r="A19" s="39">
        <v>1.1000000000000001</v>
      </c>
      <c r="B19" s="659" t="s">
        <v>49</v>
      </c>
      <c r="C19" s="659"/>
      <c r="D19" s="659"/>
      <c r="E19" s="659"/>
      <c r="F19" s="659"/>
      <c r="G19" s="659"/>
      <c r="H19" s="39"/>
      <c r="I19" s="42" t="s">
        <v>31</v>
      </c>
      <c r="J19" s="43">
        <v>15000</v>
      </c>
      <c r="K19" s="43">
        <f>H19*J19</f>
        <v>0</v>
      </c>
      <c r="L19" s="39"/>
    </row>
    <row r="20" spans="1:13" ht="18.75">
      <c r="A20" s="39">
        <v>1.2</v>
      </c>
      <c r="B20" s="659" t="s">
        <v>50</v>
      </c>
      <c r="C20" s="659"/>
      <c r="D20" s="659"/>
      <c r="E20" s="659"/>
      <c r="F20" s="659"/>
      <c r="G20" s="659"/>
      <c r="H20" s="39"/>
      <c r="I20" s="42" t="s">
        <v>19</v>
      </c>
      <c r="J20" s="42">
        <v>50000</v>
      </c>
      <c r="K20" s="43">
        <f>H20*J20</f>
        <v>0</v>
      </c>
      <c r="L20" s="44"/>
    </row>
    <row r="21" spans="1:13">
      <c r="A21" s="39">
        <v>1.3</v>
      </c>
      <c r="B21" s="659" t="s">
        <v>51</v>
      </c>
      <c r="C21" s="659"/>
      <c r="D21" s="659"/>
      <c r="E21" s="659"/>
      <c r="F21" s="659"/>
      <c r="G21" s="659"/>
      <c r="H21" s="39"/>
      <c r="I21" s="42" t="s">
        <v>19</v>
      </c>
      <c r="J21" s="43">
        <v>20000</v>
      </c>
      <c r="K21" s="43">
        <f>H21*J21</f>
        <v>0</v>
      </c>
      <c r="L21" s="39"/>
    </row>
    <row r="22" spans="1:13">
      <c r="A22" s="39">
        <v>1.4</v>
      </c>
      <c r="B22" s="659" t="s">
        <v>52</v>
      </c>
      <c r="C22" s="659"/>
      <c r="D22" s="659"/>
      <c r="E22" s="659"/>
      <c r="F22" s="659"/>
      <c r="G22" s="659"/>
      <c r="H22" s="39"/>
      <c r="I22" s="42" t="s">
        <v>19</v>
      </c>
      <c r="J22" s="43">
        <v>80000</v>
      </c>
      <c r="K22" s="43">
        <f>H22*J22</f>
        <v>0</v>
      </c>
      <c r="L22" s="39"/>
    </row>
    <row r="23" spans="1:13">
      <c r="A23" s="39"/>
      <c r="B23" s="663" t="s">
        <v>55</v>
      </c>
      <c r="C23" s="663"/>
      <c r="D23" s="663"/>
      <c r="E23" s="663"/>
      <c r="F23" s="663"/>
      <c r="G23" s="664"/>
      <c r="H23" s="45"/>
      <c r="I23" s="46"/>
      <c r="J23" s="46"/>
      <c r="K23" s="47">
        <f>SUM(K19:K22)</f>
        <v>0</v>
      </c>
      <c r="L23" s="39"/>
    </row>
    <row r="24" spans="1:13">
      <c r="A24" s="41">
        <v>3</v>
      </c>
      <c r="B24" s="659" t="s">
        <v>72</v>
      </c>
      <c r="C24" s="659"/>
      <c r="D24" s="659"/>
      <c r="E24" s="659"/>
      <c r="F24" s="659"/>
      <c r="G24" s="665"/>
      <c r="H24" s="48"/>
      <c r="I24" s="42"/>
      <c r="J24" s="43"/>
      <c r="K24" s="43"/>
      <c r="L24" s="39"/>
    </row>
    <row r="25" spans="1:13">
      <c r="A25" s="39">
        <v>3.1</v>
      </c>
      <c r="B25" s="659" t="s">
        <v>60</v>
      </c>
      <c r="C25" s="659"/>
      <c r="D25" s="659"/>
      <c r="E25" s="659"/>
      <c r="F25" s="659"/>
      <c r="G25" s="659"/>
      <c r="H25" s="39"/>
      <c r="I25" s="42" t="s">
        <v>34</v>
      </c>
      <c r="J25" s="43">
        <v>2500</v>
      </c>
      <c r="K25" s="43">
        <f t="shared" ref="K25:K30" si="0">H25*J25</f>
        <v>0</v>
      </c>
      <c r="L25" s="39"/>
    </row>
    <row r="26" spans="1:13">
      <c r="A26" s="39">
        <v>3.2</v>
      </c>
      <c r="B26" s="659" t="s">
        <v>61</v>
      </c>
      <c r="C26" s="659"/>
      <c r="D26" s="659"/>
      <c r="E26" s="659"/>
      <c r="F26" s="659"/>
      <c r="G26" s="659"/>
      <c r="H26" s="39"/>
      <c r="I26" s="42" t="s">
        <v>32</v>
      </c>
      <c r="J26" s="43">
        <v>150000</v>
      </c>
      <c r="K26" s="43">
        <f t="shared" si="0"/>
        <v>0</v>
      </c>
      <c r="L26" s="39"/>
    </row>
    <row r="27" spans="1:13">
      <c r="A27" s="39">
        <v>3.3</v>
      </c>
      <c r="B27" s="659" t="s">
        <v>53</v>
      </c>
      <c r="C27" s="659"/>
      <c r="D27" s="659"/>
      <c r="E27" s="659"/>
      <c r="F27" s="659"/>
      <c r="G27" s="659"/>
      <c r="H27" s="39"/>
      <c r="I27" s="42"/>
      <c r="J27" s="43"/>
      <c r="K27" s="43"/>
      <c r="L27" s="39"/>
    </row>
    <row r="28" spans="1:13">
      <c r="A28" s="39"/>
      <c r="B28" s="49" t="s">
        <v>62</v>
      </c>
      <c r="C28" s="49"/>
      <c r="D28" s="49"/>
      <c r="E28" s="49"/>
      <c r="F28" s="50"/>
      <c r="G28" s="51"/>
      <c r="H28" s="39"/>
      <c r="I28" s="42" t="s">
        <v>33</v>
      </c>
      <c r="J28" s="43">
        <v>30000</v>
      </c>
      <c r="K28" s="43">
        <f t="shared" ref="K28" si="1">H28*J28</f>
        <v>0</v>
      </c>
      <c r="L28" s="39"/>
    </row>
    <row r="29" spans="1:13">
      <c r="A29" s="39">
        <v>3.5</v>
      </c>
      <c r="B29" s="659" t="s">
        <v>54</v>
      </c>
      <c r="C29" s="659"/>
      <c r="D29" s="659"/>
      <c r="E29" s="659"/>
      <c r="F29" s="659"/>
      <c r="G29" s="659"/>
      <c r="H29" s="39"/>
      <c r="I29" s="42" t="s">
        <v>33</v>
      </c>
      <c r="J29" s="43">
        <v>25000</v>
      </c>
      <c r="K29" s="43">
        <f t="shared" si="0"/>
        <v>0</v>
      </c>
      <c r="L29" s="39"/>
      <c r="M29" s="1" t="s">
        <v>64</v>
      </c>
    </row>
    <row r="30" spans="1:13">
      <c r="A30" s="39">
        <v>3.6</v>
      </c>
      <c r="B30" s="659" t="s">
        <v>56</v>
      </c>
      <c r="C30" s="659"/>
      <c r="D30" s="659"/>
      <c r="E30" s="659"/>
      <c r="F30" s="659"/>
      <c r="G30" s="659"/>
      <c r="H30" s="39"/>
      <c r="I30" s="42" t="s">
        <v>19</v>
      </c>
      <c r="J30" s="43">
        <f>0.05*10400000</f>
        <v>520000</v>
      </c>
      <c r="K30" s="43">
        <f t="shared" si="0"/>
        <v>0</v>
      </c>
      <c r="L30" s="39"/>
      <c r="M30" s="1" t="s">
        <v>73</v>
      </c>
    </row>
    <row r="31" spans="1:13">
      <c r="A31" s="39">
        <v>3.7</v>
      </c>
      <c r="B31" s="659" t="s">
        <v>63</v>
      </c>
      <c r="C31" s="659"/>
      <c r="D31" s="659"/>
      <c r="E31" s="659"/>
      <c r="F31" s="659"/>
      <c r="G31" s="659"/>
      <c r="H31" s="39"/>
      <c r="I31" s="42" t="s">
        <v>19</v>
      </c>
      <c r="J31" s="43">
        <f>0.35*600000</f>
        <v>210000</v>
      </c>
      <c r="K31" s="43">
        <f t="shared" ref="K31" si="2">H31*J31</f>
        <v>0</v>
      </c>
      <c r="L31" s="39"/>
      <c r="M31" s="1" t="s">
        <v>71</v>
      </c>
    </row>
    <row r="32" spans="1:13">
      <c r="A32" s="39"/>
      <c r="B32" s="663" t="s">
        <v>57</v>
      </c>
      <c r="C32" s="663"/>
      <c r="D32" s="663"/>
      <c r="E32" s="663"/>
      <c r="F32" s="663"/>
      <c r="G32" s="664"/>
      <c r="H32" s="45"/>
      <c r="I32" s="46"/>
      <c r="J32" s="46"/>
      <c r="K32" s="47">
        <f>SUM(K25:K31)</f>
        <v>0</v>
      </c>
      <c r="L32" s="39"/>
    </row>
    <row r="33" spans="1:13">
      <c r="A33" s="41">
        <v>4</v>
      </c>
      <c r="B33" s="49" t="s">
        <v>69</v>
      </c>
      <c r="C33" s="49"/>
      <c r="D33" s="49"/>
      <c r="E33" s="49"/>
      <c r="F33" s="50"/>
      <c r="G33" s="51"/>
      <c r="H33" s="39"/>
      <c r="I33" s="42" t="s">
        <v>32</v>
      </c>
      <c r="J33" s="43">
        <v>51000</v>
      </c>
      <c r="K33" s="52">
        <f>H33*J33</f>
        <v>0</v>
      </c>
      <c r="L33" s="39"/>
      <c r="M33" s="1" t="s">
        <v>70</v>
      </c>
    </row>
    <row r="34" spans="1:13">
      <c r="A34" s="41">
        <v>5</v>
      </c>
      <c r="B34" s="49" t="s">
        <v>59</v>
      </c>
      <c r="C34" s="50"/>
      <c r="D34" s="34"/>
      <c r="E34" s="34"/>
      <c r="F34" s="34"/>
      <c r="G34" s="51"/>
      <c r="H34" s="39"/>
      <c r="I34" s="42" t="s">
        <v>58</v>
      </c>
      <c r="J34" s="43">
        <v>1500</v>
      </c>
      <c r="K34" s="52">
        <f>H34*J34</f>
        <v>0</v>
      </c>
      <c r="L34" s="39"/>
    </row>
    <row r="35" spans="1:13">
      <c r="A35" s="41"/>
      <c r="B35" s="99"/>
      <c r="C35" s="34"/>
      <c r="D35" s="34"/>
      <c r="E35" s="34"/>
      <c r="F35" s="34"/>
      <c r="G35" s="51"/>
      <c r="H35" s="98"/>
      <c r="I35" s="42"/>
      <c r="J35" s="43"/>
      <c r="K35" s="52"/>
      <c r="L35" s="98"/>
    </row>
    <row r="36" spans="1:13">
      <c r="A36" s="153"/>
      <c r="B36" s="31"/>
      <c r="C36" s="31"/>
      <c r="D36" s="31"/>
      <c r="E36" s="30" t="s">
        <v>35</v>
      </c>
      <c r="F36" s="30"/>
      <c r="G36" s="150"/>
      <c r="H36" s="146"/>
      <c r="I36" s="146"/>
      <c r="J36" s="146"/>
      <c r="K36" s="147"/>
      <c r="L36" s="39"/>
    </row>
    <row r="37" spans="1:13">
      <c r="A37" s="153"/>
      <c r="B37" s="31"/>
      <c r="C37" s="31"/>
      <c r="D37" s="31"/>
      <c r="E37" s="30" t="s">
        <v>36</v>
      </c>
      <c r="F37" s="30"/>
      <c r="G37" s="150"/>
      <c r="H37" s="148"/>
      <c r="I37" s="148"/>
      <c r="J37" s="148"/>
      <c r="K37" s="149"/>
      <c r="L37" s="39"/>
    </row>
    <row r="38" spans="1:13">
      <c r="A38" s="153"/>
      <c r="B38" s="29"/>
      <c r="C38" s="29"/>
      <c r="D38" s="29"/>
      <c r="E38" s="151" t="s">
        <v>48</v>
      </c>
      <c r="F38" s="151"/>
      <c r="G38" s="152"/>
      <c r="H38" s="144"/>
      <c r="I38" s="144"/>
      <c r="J38" s="144"/>
      <c r="K38" s="145"/>
      <c r="L38" s="39"/>
    </row>
  </sheetData>
  <mergeCells count="17">
    <mergeCell ref="B26:G26"/>
    <mergeCell ref="B27:G27"/>
    <mergeCell ref="A2:L2"/>
    <mergeCell ref="A3:L3"/>
    <mergeCell ref="B17:G17"/>
    <mergeCell ref="B32:G32"/>
    <mergeCell ref="B31:G31"/>
    <mergeCell ref="B18:G18"/>
    <mergeCell ref="B19:G19"/>
    <mergeCell ref="B20:G20"/>
    <mergeCell ref="B21:G21"/>
    <mergeCell ref="B22:G22"/>
    <mergeCell ref="B23:G23"/>
    <mergeCell ref="B24:G24"/>
    <mergeCell ref="B29:G29"/>
    <mergeCell ref="B30:G30"/>
    <mergeCell ref="B25:G25"/>
  </mergeCells>
  <pageMargins left="0.70866141732283472" right="0.19685039370078741" top="0.43307086614173229" bottom="0.74803149606299213" header="0.31496062992125984" footer="0.31496062992125984"/>
  <pageSetup paperSize="9" orientation="portrait" horizontalDpi="1200" verticalDpi="1200" r:id="rId1"/>
  <headerFooter>
    <oddHeader>&amp;Rแบบ ปร. 4 ( พ )แผ่นที่ 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4" workbookViewId="0">
      <selection activeCell="A11" sqref="A11"/>
    </sheetView>
  </sheetViews>
  <sheetFormatPr defaultRowHeight="24"/>
  <cols>
    <col min="1" max="1" width="13.85546875" style="37" customWidth="1"/>
    <col min="2" max="5" width="9.140625" style="37"/>
    <col min="11" max="12" width="10.7109375" bestFit="1" customWidth="1"/>
  </cols>
  <sheetData>
    <row r="1" spans="1:17" ht="22.5" thickBot="1">
      <c r="A1" s="172">
        <v>1</v>
      </c>
      <c r="B1" s="172">
        <v>2</v>
      </c>
      <c r="C1" s="172">
        <v>3</v>
      </c>
      <c r="D1" s="172">
        <v>4</v>
      </c>
      <c r="E1" s="172">
        <v>5</v>
      </c>
      <c r="F1" s="172">
        <v>6</v>
      </c>
      <c r="G1" s="172">
        <v>7</v>
      </c>
      <c r="H1" s="172">
        <v>8</v>
      </c>
      <c r="I1" s="172">
        <v>9</v>
      </c>
      <c r="J1" s="172">
        <v>10</v>
      </c>
      <c r="K1" s="172">
        <v>11</v>
      </c>
      <c r="L1" s="172">
        <v>12</v>
      </c>
      <c r="M1" s="172">
        <v>13</v>
      </c>
      <c r="N1" s="172">
        <v>14</v>
      </c>
      <c r="O1" s="172">
        <v>15</v>
      </c>
      <c r="P1" s="172">
        <v>16</v>
      </c>
      <c r="Q1" s="172">
        <v>17</v>
      </c>
    </row>
    <row r="2" spans="1:17" ht="30.75" thickTop="1" thickBot="1">
      <c r="A2" s="161" t="s">
        <v>109</v>
      </c>
      <c r="B2" s="181">
        <v>0</v>
      </c>
      <c r="C2" s="182"/>
      <c r="D2" s="182"/>
      <c r="E2" s="183"/>
      <c r="F2" s="184">
        <v>0.05</v>
      </c>
      <c r="G2" s="185"/>
      <c r="H2" s="185"/>
      <c r="I2" s="186"/>
      <c r="J2" s="184">
        <v>0.1</v>
      </c>
      <c r="K2" s="185"/>
      <c r="L2" s="185"/>
      <c r="M2" s="186"/>
      <c r="N2" s="666"/>
      <c r="O2" s="667"/>
      <c r="P2" s="667"/>
      <c r="Q2" s="668"/>
    </row>
    <row r="3" spans="1:17" ht="25.5" thickTop="1" thickBot="1">
      <c r="A3" s="154"/>
      <c r="B3" s="669" t="s">
        <v>39</v>
      </c>
      <c r="C3" s="670"/>
      <c r="D3" s="670"/>
      <c r="E3" s="671"/>
      <c r="F3" s="669" t="s">
        <v>39</v>
      </c>
      <c r="G3" s="670"/>
      <c r="H3" s="670"/>
      <c r="I3" s="671"/>
      <c r="J3" s="669" t="s">
        <v>39</v>
      </c>
      <c r="K3" s="670"/>
      <c r="L3" s="670"/>
      <c r="M3" s="671"/>
      <c r="N3" s="669"/>
      <c r="O3" s="670"/>
      <c r="P3" s="670"/>
      <c r="Q3" s="671"/>
    </row>
    <row r="4" spans="1:17" ht="24.75" thickTop="1">
      <c r="A4" s="155" t="s">
        <v>40</v>
      </c>
      <c r="B4" s="180">
        <v>0</v>
      </c>
      <c r="C4" s="168">
        <v>0.05</v>
      </c>
      <c r="D4" s="159">
        <v>0.1</v>
      </c>
      <c r="E4" s="160">
        <v>0.15</v>
      </c>
      <c r="F4" s="158">
        <v>0</v>
      </c>
      <c r="G4" s="159">
        <v>0.05</v>
      </c>
      <c r="H4" s="159">
        <v>0.1</v>
      </c>
      <c r="I4" s="160">
        <v>0.15</v>
      </c>
      <c r="J4" s="180">
        <v>0</v>
      </c>
      <c r="K4" s="168">
        <v>0.05</v>
      </c>
      <c r="L4" s="159">
        <v>0.1</v>
      </c>
      <c r="M4" s="160">
        <v>0.15</v>
      </c>
      <c r="N4" s="158"/>
      <c r="O4" s="159"/>
      <c r="P4" s="159"/>
      <c r="Q4" s="160"/>
    </row>
    <row r="5" spans="1:17">
      <c r="A5" s="156">
        <v>0</v>
      </c>
      <c r="B5" s="162">
        <v>1.3073999999999999</v>
      </c>
      <c r="C5" s="169">
        <v>1.3065</v>
      </c>
      <c r="D5" s="164">
        <v>1.3055000000000001</v>
      </c>
      <c r="E5" s="166">
        <v>1.3046</v>
      </c>
      <c r="F5" s="162">
        <v>1.3078000000000001</v>
      </c>
      <c r="G5" s="163">
        <v>1.3069</v>
      </c>
      <c r="H5" s="164">
        <v>1.3059000000000001</v>
      </c>
      <c r="I5" s="166">
        <v>1.3049999999999999</v>
      </c>
      <c r="J5" s="162">
        <v>1.3082</v>
      </c>
      <c r="K5" s="169">
        <v>1.3072999999999999</v>
      </c>
      <c r="L5" s="164">
        <v>1.3063</v>
      </c>
      <c r="M5" s="166">
        <v>1.3053999999999999</v>
      </c>
      <c r="N5" s="162"/>
      <c r="O5" s="163"/>
      <c r="P5" s="164"/>
      <c r="Q5" s="166"/>
    </row>
    <row r="6" spans="1:17">
      <c r="A6" s="156">
        <v>0.5</v>
      </c>
      <c r="B6" s="162">
        <v>1.3073999999999999</v>
      </c>
      <c r="C6" s="169">
        <v>1.3065</v>
      </c>
      <c r="D6" s="164">
        <v>1.3055000000000001</v>
      </c>
      <c r="E6" s="166">
        <v>1.3046</v>
      </c>
      <c r="F6" s="162">
        <v>1.3078000000000001</v>
      </c>
      <c r="G6" s="163">
        <v>1.3069</v>
      </c>
      <c r="H6" s="164">
        <v>1.3059000000000001</v>
      </c>
      <c r="I6" s="166">
        <v>1.3049999999999999</v>
      </c>
      <c r="J6" s="162">
        <v>1.3082</v>
      </c>
      <c r="K6" s="169">
        <v>1.3072999999999999</v>
      </c>
      <c r="L6" s="164">
        <v>1.3063</v>
      </c>
      <c r="M6" s="166">
        <v>1.3053999999999999</v>
      </c>
      <c r="N6" s="162"/>
      <c r="O6" s="163"/>
      <c r="P6" s="164"/>
      <c r="Q6" s="166"/>
    </row>
    <row r="7" spans="1:17">
      <c r="A7" s="156">
        <v>1</v>
      </c>
      <c r="B7" s="162">
        <v>1.3049999999999999</v>
      </c>
      <c r="C7" s="169">
        <v>1.304</v>
      </c>
      <c r="D7" s="164">
        <v>1.3028999999999999</v>
      </c>
      <c r="E7" s="166">
        <v>1.3018000000000001</v>
      </c>
      <c r="F7" s="162">
        <v>1.3056000000000001</v>
      </c>
      <c r="G7" s="163">
        <v>1.3045</v>
      </c>
      <c r="H7" s="164">
        <v>1.3033999999999999</v>
      </c>
      <c r="I7" s="166">
        <v>1.3024</v>
      </c>
      <c r="J7" s="162">
        <v>1.3061</v>
      </c>
      <c r="K7" s="169">
        <v>1.3049999999999999</v>
      </c>
      <c r="L7" s="164">
        <v>1.304</v>
      </c>
      <c r="M7" s="166">
        <v>1.3028999999999999</v>
      </c>
      <c r="N7" s="162"/>
      <c r="O7" s="163"/>
      <c r="P7" s="164"/>
      <c r="Q7" s="166"/>
    </row>
    <row r="8" spans="1:17">
      <c r="A8" s="156">
        <v>2</v>
      </c>
      <c r="B8" s="162">
        <v>1.3035000000000001</v>
      </c>
      <c r="C8" s="169">
        <v>1.3023</v>
      </c>
      <c r="D8" s="164">
        <v>1.3010999999999999</v>
      </c>
      <c r="E8" s="166">
        <v>1.2999000000000001</v>
      </c>
      <c r="F8" s="162">
        <v>1.3042</v>
      </c>
      <c r="G8" s="163">
        <v>1.3029999999999999</v>
      </c>
      <c r="H8" s="164">
        <v>1.3018000000000001</v>
      </c>
      <c r="I8" s="166">
        <v>1.3006</v>
      </c>
      <c r="J8" s="162">
        <v>1.3048999999999999</v>
      </c>
      <c r="K8" s="169">
        <v>1.3036000000000001</v>
      </c>
      <c r="L8" s="164">
        <v>1.3024</v>
      </c>
      <c r="M8" s="166">
        <v>1.3011999999999999</v>
      </c>
      <c r="N8" s="162"/>
      <c r="O8" s="163"/>
      <c r="P8" s="164"/>
      <c r="Q8" s="166"/>
    </row>
    <row r="9" spans="1:17">
      <c r="A9" s="156">
        <v>5</v>
      </c>
      <c r="B9" s="162">
        <v>1.3003</v>
      </c>
      <c r="C9" s="169">
        <v>1.2987</v>
      </c>
      <c r="D9" s="164">
        <v>1.2970999999999999</v>
      </c>
      <c r="E9" s="166">
        <v>1.2955000000000001</v>
      </c>
      <c r="F9" s="162">
        <v>1.3013999999999999</v>
      </c>
      <c r="G9" s="163">
        <v>1.2998000000000001</v>
      </c>
      <c r="H9" s="164">
        <v>1.2982</v>
      </c>
      <c r="I9" s="166">
        <v>1.2966</v>
      </c>
      <c r="J9" s="162">
        <v>1.3025</v>
      </c>
      <c r="K9" s="169">
        <v>1.3008999999999999</v>
      </c>
      <c r="L9" s="164">
        <v>1.2992999999999999</v>
      </c>
      <c r="M9" s="166">
        <v>1.2976000000000001</v>
      </c>
      <c r="N9" s="162"/>
      <c r="O9" s="163"/>
      <c r="P9" s="164"/>
      <c r="Q9" s="166"/>
    </row>
    <row r="10" spans="1:17">
      <c r="A10" s="156">
        <v>10</v>
      </c>
      <c r="B10" s="162">
        <v>1.2943</v>
      </c>
      <c r="C10" s="169">
        <v>1.2922</v>
      </c>
      <c r="D10" s="164">
        <v>1.2901</v>
      </c>
      <c r="E10" s="166">
        <v>1.2879</v>
      </c>
      <c r="F10" s="162">
        <v>1.296</v>
      </c>
      <c r="G10" s="163">
        <v>1.2938000000000001</v>
      </c>
      <c r="H10" s="164">
        <v>1.2917000000000001</v>
      </c>
      <c r="I10" s="166">
        <v>1.2895000000000001</v>
      </c>
      <c r="J10" s="162">
        <v>1.2976000000000001</v>
      </c>
      <c r="K10" s="169">
        <v>1.2954000000000001</v>
      </c>
      <c r="L10" s="164">
        <v>1.2932999999999999</v>
      </c>
      <c r="M10" s="166">
        <v>1.2910999999999999</v>
      </c>
      <c r="N10" s="162"/>
      <c r="O10" s="163"/>
      <c r="P10" s="164"/>
      <c r="Q10" s="166"/>
    </row>
    <row r="11" spans="1:17">
      <c r="A11" s="156">
        <v>15</v>
      </c>
      <c r="B11" s="162">
        <v>1.2594000000000001</v>
      </c>
      <c r="C11" s="169">
        <v>1.2573000000000001</v>
      </c>
      <c r="D11" s="164">
        <v>1.2551000000000001</v>
      </c>
      <c r="E11" s="166">
        <v>1.2529999999999999</v>
      </c>
      <c r="F11" s="162">
        <v>1.2609999999999999</v>
      </c>
      <c r="G11" s="163">
        <v>1.2588999999999999</v>
      </c>
      <c r="H11" s="164">
        <v>1.2566999999999999</v>
      </c>
      <c r="I11" s="166">
        <v>1.2545999999999999</v>
      </c>
      <c r="J11" s="162">
        <v>1.2625999999999999</v>
      </c>
      <c r="K11" s="169">
        <v>1.2605</v>
      </c>
      <c r="L11" s="164">
        <v>1.2583</v>
      </c>
      <c r="M11" s="166">
        <v>1.2562</v>
      </c>
      <c r="N11" s="162"/>
      <c r="O11" s="163"/>
      <c r="P11" s="164"/>
      <c r="Q11" s="166"/>
    </row>
    <row r="12" spans="1:17">
      <c r="A12" s="156">
        <v>20</v>
      </c>
      <c r="B12" s="162">
        <v>1.2518</v>
      </c>
      <c r="C12" s="169">
        <v>1.2495000000000001</v>
      </c>
      <c r="D12" s="164">
        <v>1.2472000000000001</v>
      </c>
      <c r="E12" s="166">
        <v>1.2450000000000001</v>
      </c>
      <c r="F12" s="162">
        <v>1.2535000000000001</v>
      </c>
      <c r="G12" s="163">
        <v>1.2513000000000001</v>
      </c>
      <c r="H12" s="164">
        <v>1.2490000000000001</v>
      </c>
      <c r="I12" s="166">
        <v>1.2466999999999999</v>
      </c>
      <c r="J12" s="162">
        <v>1.2553000000000001</v>
      </c>
      <c r="K12" s="169">
        <v>1.2529999999999999</v>
      </c>
      <c r="L12" s="164">
        <v>1.2057</v>
      </c>
      <c r="M12" s="166">
        <v>1.2484</v>
      </c>
      <c r="N12" s="162"/>
      <c r="O12" s="163"/>
      <c r="P12" s="164"/>
      <c r="Q12" s="166"/>
    </row>
    <row r="13" spans="1:17">
      <c r="A13" s="156">
        <v>25</v>
      </c>
      <c r="B13" s="162">
        <v>1.2248000000000001</v>
      </c>
      <c r="C13" s="169">
        <v>1.2224999999999999</v>
      </c>
      <c r="D13" s="164">
        <v>1.2202999999999999</v>
      </c>
      <c r="E13" s="166">
        <v>1.218</v>
      </c>
      <c r="F13" s="162">
        <v>1.2265999999999999</v>
      </c>
      <c r="G13" s="163">
        <v>1.2242999999999999</v>
      </c>
      <c r="H13" s="164">
        <v>1.222</v>
      </c>
      <c r="I13" s="166">
        <v>1.2197</v>
      </c>
      <c r="J13" s="162">
        <v>1.2282999999999999</v>
      </c>
      <c r="K13" s="169">
        <v>1.226</v>
      </c>
      <c r="L13" s="164">
        <v>1.2237</v>
      </c>
      <c r="M13" s="166">
        <v>1.2215</v>
      </c>
      <c r="N13" s="162"/>
      <c r="O13" s="163"/>
      <c r="P13" s="164"/>
      <c r="Q13" s="166"/>
    </row>
    <row r="14" spans="1:17">
      <c r="A14" s="156">
        <v>30</v>
      </c>
      <c r="B14" s="162">
        <v>1.2163999999999999</v>
      </c>
      <c r="C14" s="169">
        <v>1.214</v>
      </c>
      <c r="D14" s="164">
        <v>1.2116</v>
      </c>
      <c r="E14" s="166">
        <v>1.2092000000000001</v>
      </c>
      <c r="F14" s="162">
        <v>1.2182999999999999</v>
      </c>
      <c r="G14" s="163">
        <v>1.2159</v>
      </c>
      <c r="H14" s="164">
        <v>1.2135</v>
      </c>
      <c r="I14" s="166">
        <v>1.2111000000000001</v>
      </c>
      <c r="J14" s="162">
        <v>1.2202</v>
      </c>
      <c r="K14" s="169">
        <v>1.2178</v>
      </c>
      <c r="L14" s="164">
        <v>1.2154</v>
      </c>
      <c r="M14" s="166">
        <v>1.2130000000000001</v>
      </c>
      <c r="N14" s="162"/>
      <c r="O14" s="163"/>
      <c r="P14" s="164"/>
      <c r="Q14" s="166"/>
    </row>
    <row r="15" spans="1:17">
      <c r="A15" s="156">
        <v>40</v>
      </c>
      <c r="B15" s="162">
        <v>1.2161</v>
      </c>
      <c r="C15" s="169">
        <v>1.2136</v>
      </c>
      <c r="D15" s="164">
        <v>1.2112000000000001</v>
      </c>
      <c r="E15" s="166">
        <v>1.2088000000000001</v>
      </c>
      <c r="F15" s="162">
        <v>1.2179</v>
      </c>
      <c r="G15" s="163">
        <v>1.2155</v>
      </c>
      <c r="H15" s="164">
        <v>1.2131000000000001</v>
      </c>
      <c r="I15" s="166">
        <v>1.2107000000000001</v>
      </c>
      <c r="J15" s="162">
        <v>1.2198</v>
      </c>
      <c r="K15" s="169">
        <v>1.2174</v>
      </c>
      <c r="L15" s="164">
        <v>1.2150000000000001</v>
      </c>
      <c r="M15" s="166">
        <v>1.2125999999999999</v>
      </c>
      <c r="N15" s="162"/>
      <c r="O15" s="163"/>
      <c r="P15" s="164"/>
      <c r="Q15" s="166"/>
    </row>
    <row r="16" spans="1:17">
      <c r="A16" s="156">
        <v>50</v>
      </c>
      <c r="B16" s="162">
        <v>1.2159</v>
      </c>
      <c r="C16" s="169">
        <v>1.2133</v>
      </c>
      <c r="D16" s="164">
        <v>1.2105999999999999</v>
      </c>
      <c r="E16" s="166">
        <v>1.2079</v>
      </c>
      <c r="F16" s="162">
        <v>1.2181</v>
      </c>
      <c r="G16" s="163">
        <v>1.2154</v>
      </c>
      <c r="H16" s="164">
        <v>1.2126999999999999</v>
      </c>
      <c r="I16" s="166">
        <v>1.2101</v>
      </c>
      <c r="J16" s="162">
        <v>1.2202</v>
      </c>
      <c r="K16" s="169">
        <v>1.2175</v>
      </c>
      <c r="L16" s="164">
        <v>1.2149000000000001</v>
      </c>
      <c r="M16" s="166">
        <v>1.2121999999999999</v>
      </c>
      <c r="N16" s="162"/>
      <c r="O16" s="163"/>
      <c r="P16" s="164"/>
      <c r="Q16" s="166"/>
    </row>
    <row r="17" spans="1:17">
      <c r="A17" s="156">
        <v>60</v>
      </c>
      <c r="B17" s="162">
        <v>1.2060999999999999</v>
      </c>
      <c r="C17" s="169">
        <v>1.2035</v>
      </c>
      <c r="D17" s="164">
        <v>1.2008000000000001</v>
      </c>
      <c r="E17" s="166">
        <v>1.1980999999999999</v>
      </c>
      <c r="F17" s="162">
        <v>1.2082999999999999</v>
      </c>
      <c r="G17" s="163">
        <v>1.2056</v>
      </c>
      <c r="H17" s="164">
        <v>1.2029000000000001</v>
      </c>
      <c r="I17" s="166">
        <v>1.2001999999999999</v>
      </c>
      <c r="J17" s="162">
        <v>1.2103999999999999</v>
      </c>
      <c r="K17" s="169">
        <v>1.2077</v>
      </c>
      <c r="L17" s="164">
        <v>1.2054</v>
      </c>
      <c r="M17" s="166">
        <v>1.2023999999999999</v>
      </c>
      <c r="N17" s="162"/>
      <c r="O17" s="163"/>
      <c r="P17" s="164"/>
      <c r="Q17" s="166"/>
    </row>
    <row r="18" spans="1:17">
      <c r="A18" s="156">
        <v>70</v>
      </c>
      <c r="B18" s="162">
        <v>1.2050000000000001</v>
      </c>
      <c r="C18" s="169">
        <v>1.2021999999999999</v>
      </c>
      <c r="D18" s="164">
        <v>1.1994</v>
      </c>
      <c r="E18" s="166">
        <v>1.1966000000000001</v>
      </c>
      <c r="F18" s="162">
        <v>1.2073</v>
      </c>
      <c r="G18" s="163">
        <v>1.2044999999999999</v>
      </c>
      <c r="H18" s="164">
        <v>1.2017</v>
      </c>
      <c r="I18" s="166">
        <v>1.1989000000000001</v>
      </c>
      <c r="J18" s="162">
        <v>1.2096</v>
      </c>
      <c r="K18" s="169">
        <v>1.2068000000000001</v>
      </c>
      <c r="L18" s="164">
        <v>1.204</v>
      </c>
      <c r="M18" s="166">
        <v>1.2011000000000001</v>
      </c>
      <c r="N18" s="162"/>
      <c r="O18" s="163"/>
      <c r="P18" s="164"/>
      <c r="Q18" s="166"/>
    </row>
    <row r="19" spans="1:17">
      <c r="A19" s="156">
        <v>80</v>
      </c>
      <c r="B19" s="162">
        <v>1.2050000000000001</v>
      </c>
      <c r="C19" s="169">
        <v>1.2021999999999999</v>
      </c>
      <c r="D19" s="164">
        <v>1.1994</v>
      </c>
      <c r="E19" s="166">
        <v>1.1966000000000001</v>
      </c>
      <c r="F19" s="162">
        <v>1.2073</v>
      </c>
      <c r="G19" s="163">
        <v>1.2044999999999999</v>
      </c>
      <c r="H19" s="164">
        <v>1.2017</v>
      </c>
      <c r="I19" s="166">
        <v>1.1989000000000001</v>
      </c>
      <c r="J19" s="162">
        <v>1.2096</v>
      </c>
      <c r="K19" s="169">
        <v>1.2068000000000001</v>
      </c>
      <c r="L19" s="164">
        <v>1.204</v>
      </c>
      <c r="M19" s="166">
        <v>1.2011000000000001</v>
      </c>
      <c r="N19" s="162"/>
      <c r="O19" s="163"/>
      <c r="P19" s="164"/>
      <c r="Q19" s="166"/>
    </row>
    <row r="20" spans="1:17">
      <c r="A20" s="156">
        <v>90</v>
      </c>
      <c r="B20" s="162">
        <v>1.2049000000000001</v>
      </c>
      <c r="C20" s="169">
        <v>1.202</v>
      </c>
      <c r="D20" s="164">
        <v>1.1991000000000001</v>
      </c>
      <c r="E20" s="166">
        <v>1.1960999999999999</v>
      </c>
      <c r="F20" s="162">
        <v>1.2073</v>
      </c>
      <c r="G20" s="163">
        <v>1.2043999999999999</v>
      </c>
      <c r="H20" s="164">
        <v>1.2015</v>
      </c>
      <c r="I20" s="166">
        <v>1.1984999999999999</v>
      </c>
      <c r="J20" s="162">
        <v>1.2098</v>
      </c>
      <c r="K20" s="169">
        <v>1.2068000000000001</v>
      </c>
      <c r="L20" s="164">
        <v>1.2039</v>
      </c>
      <c r="M20" s="166">
        <v>1.2009000000000001</v>
      </c>
      <c r="N20" s="162"/>
      <c r="O20" s="163"/>
      <c r="P20" s="164"/>
      <c r="Q20" s="166"/>
    </row>
    <row r="21" spans="1:17">
      <c r="A21" s="156">
        <v>100</v>
      </c>
      <c r="B21" s="162">
        <v>1.2049000000000001</v>
      </c>
      <c r="C21" s="169">
        <v>1.202</v>
      </c>
      <c r="D21" s="164">
        <v>1.1991000000000001</v>
      </c>
      <c r="E21" s="166">
        <v>1.1960999999999999</v>
      </c>
      <c r="F21" s="162">
        <v>1.2073</v>
      </c>
      <c r="G21" s="163">
        <v>1.2043999999999999</v>
      </c>
      <c r="H21" s="164">
        <v>1.2015</v>
      </c>
      <c r="I21" s="166">
        <v>1.1984999999999999</v>
      </c>
      <c r="J21" s="162">
        <v>1.2098</v>
      </c>
      <c r="K21" s="169">
        <v>1.2068000000000001</v>
      </c>
      <c r="L21" s="164">
        <v>1.2039</v>
      </c>
      <c r="M21" s="166">
        <v>1.2009000000000001</v>
      </c>
      <c r="N21" s="162"/>
      <c r="O21" s="163"/>
      <c r="P21" s="164"/>
      <c r="Q21" s="166"/>
    </row>
    <row r="22" spans="1:17">
      <c r="A22" s="156">
        <v>150</v>
      </c>
      <c r="B22" s="162">
        <v>1.2022999999999999</v>
      </c>
      <c r="C22" s="169">
        <v>1.1991000000000001</v>
      </c>
      <c r="D22" s="164">
        <v>1.1958</v>
      </c>
      <c r="E22" s="166">
        <v>1.1926000000000001</v>
      </c>
      <c r="F22" s="162">
        <v>1.2049000000000001</v>
      </c>
      <c r="G22" s="163">
        <v>1.2017</v>
      </c>
      <c r="H22" s="164">
        <v>1.1984999999999999</v>
      </c>
      <c r="I22" s="166">
        <v>1.1953</v>
      </c>
      <c r="J22" s="162">
        <v>1.2076</v>
      </c>
      <c r="K22" s="169">
        <v>1.2043999999999999</v>
      </c>
      <c r="L22" s="164">
        <v>1.2012</v>
      </c>
      <c r="M22" s="166">
        <v>1.198</v>
      </c>
      <c r="N22" s="162"/>
      <c r="O22" s="163"/>
      <c r="P22" s="164"/>
      <c r="Q22" s="166"/>
    </row>
    <row r="23" spans="1:17">
      <c r="A23" s="156">
        <v>200</v>
      </c>
      <c r="B23" s="162">
        <v>1.2022999999999999</v>
      </c>
      <c r="C23" s="169">
        <v>1.1988000000000001</v>
      </c>
      <c r="D23" s="164">
        <v>1.1953</v>
      </c>
      <c r="E23" s="166">
        <v>1.1919</v>
      </c>
      <c r="F23" s="162">
        <v>1.2052</v>
      </c>
      <c r="G23" s="163">
        <v>1.2018</v>
      </c>
      <c r="H23" s="164">
        <v>1.1982999999999999</v>
      </c>
      <c r="I23" s="166">
        <v>1.1948000000000001</v>
      </c>
      <c r="J23" s="162">
        <v>1.2081999999999999</v>
      </c>
      <c r="K23" s="169">
        <v>1.2047000000000001</v>
      </c>
      <c r="L23" s="164">
        <v>1.2012</v>
      </c>
      <c r="M23" s="166">
        <v>1.1977</v>
      </c>
      <c r="N23" s="162"/>
      <c r="O23" s="163"/>
      <c r="P23" s="164"/>
      <c r="Q23" s="166"/>
    </row>
    <row r="24" spans="1:17">
      <c r="A24" s="156">
        <v>250</v>
      </c>
      <c r="B24" s="162">
        <v>1.2013</v>
      </c>
      <c r="C24" s="169">
        <v>1.1973</v>
      </c>
      <c r="D24" s="164">
        <v>1.1933</v>
      </c>
      <c r="E24" s="166">
        <v>1.1893</v>
      </c>
      <c r="F24" s="162">
        <v>1.2048000000000001</v>
      </c>
      <c r="G24" s="163">
        <v>1.2008000000000001</v>
      </c>
      <c r="H24" s="164">
        <v>1.1968000000000001</v>
      </c>
      <c r="I24" s="166">
        <v>1.1928000000000001</v>
      </c>
      <c r="J24" s="162">
        <v>1.2082999999999999</v>
      </c>
      <c r="K24" s="169">
        <v>1.2042999999999999</v>
      </c>
      <c r="L24" s="164">
        <v>1.2002999999999999</v>
      </c>
      <c r="M24" s="166">
        <v>1.1962999999999999</v>
      </c>
      <c r="N24" s="162"/>
      <c r="O24" s="163"/>
      <c r="P24" s="164"/>
      <c r="Q24" s="166"/>
    </row>
    <row r="25" spans="1:17">
      <c r="A25" s="156">
        <v>300</v>
      </c>
      <c r="B25" s="162">
        <v>1.1951000000000001</v>
      </c>
      <c r="C25" s="169">
        <v>1.1909000000000001</v>
      </c>
      <c r="D25" s="164">
        <v>1.1866000000000001</v>
      </c>
      <c r="E25" s="166">
        <v>1.1822999999999999</v>
      </c>
      <c r="F25" s="162">
        <v>1.1989000000000001</v>
      </c>
      <c r="G25" s="163">
        <v>1.1946000000000001</v>
      </c>
      <c r="H25" s="164">
        <v>1.1902999999999999</v>
      </c>
      <c r="I25" s="166">
        <v>1.1860999999999999</v>
      </c>
      <c r="J25" s="162">
        <v>1.2025999999999999</v>
      </c>
      <c r="K25" s="169">
        <v>1.1983999999999999</v>
      </c>
      <c r="L25" s="164">
        <v>1.1940999999999999</v>
      </c>
      <c r="M25" s="166">
        <v>1.1898</v>
      </c>
      <c r="N25" s="162"/>
      <c r="O25" s="163"/>
      <c r="P25" s="164"/>
      <c r="Q25" s="166"/>
    </row>
    <row r="26" spans="1:17">
      <c r="A26" s="156">
        <v>350</v>
      </c>
      <c r="B26" s="162">
        <v>1.1866000000000001</v>
      </c>
      <c r="C26" s="169">
        <v>1.1821999999999999</v>
      </c>
      <c r="D26" s="164">
        <v>1.1778</v>
      </c>
      <c r="E26" s="166">
        <v>1.1734</v>
      </c>
      <c r="F26" s="162">
        <v>1.1904999999999999</v>
      </c>
      <c r="G26" s="163">
        <v>1.1860999999999999</v>
      </c>
      <c r="H26" s="164">
        <v>1.1817</v>
      </c>
      <c r="I26" s="166">
        <v>1.1772</v>
      </c>
      <c r="J26" s="162">
        <v>1.1943999999999999</v>
      </c>
      <c r="K26" s="169">
        <v>1.1899</v>
      </c>
      <c r="L26" s="164">
        <v>1.1855</v>
      </c>
      <c r="M26" s="166">
        <v>1.1811</v>
      </c>
      <c r="N26" s="162"/>
      <c r="O26" s="163"/>
      <c r="P26" s="164"/>
      <c r="Q26" s="166"/>
    </row>
    <row r="27" spans="1:17">
      <c r="A27" s="156">
        <v>400</v>
      </c>
      <c r="B27" s="162">
        <v>1.1858</v>
      </c>
      <c r="C27" s="169">
        <v>1.1808000000000001</v>
      </c>
      <c r="D27" s="164">
        <v>1.1758999999999999</v>
      </c>
      <c r="E27" s="166">
        <v>1.1709000000000001</v>
      </c>
      <c r="F27" s="162">
        <v>1.1901999999999999</v>
      </c>
      <c r="G27" s="163">
        <v>1.1853</v>
      </c>
      <c r="H27" s="164">
        <v>1.1802999999999999</v>
      </c>
      <c r="I27" s="166">
        <v>1.1754</v>
      </c>
      <c r="J27" s="162">
        <v>1.1946000000000001</v>
      </c>
      <c r="K27" s="169">
        <v>1.1897</v>
      </c>
      <c r="L27" s="164">
        <v>1.1847000000000001</v>
      </c>
      <c r="M27" s="166">
        <v>1.1798</v>
      </c>
      <c r="N27" s="162"/>
      <c r="O27" s="163"/>
      <c r="P27" s="164"/>
      <c r="Q27" s="166"/>
    </row>
    <row r="28" spans="1:17">
      <c r="A28" s="156">
        <v>500</v>
      </c>
      <c r="B28" s="162">
        <v>1.1853</v>
      </c>
      <c r="C28" s="169">
        <v>1.1800999999999999</v>
      </c>
      <c r="D28" s="164">
        <v>1.1749000000000001</v>
      </c>
      <c r="E28" s="166">
        <v>1.1696</v>
      </c>
      <c r="F28" s="162">
        <v>1.19</v>
      </c>
      <c r="G28" s="163">
        <v>1.1848000000000001</v>
      </c>
      <c r="H28" s="164">
        <v>1.1795</v>
      </c>
      <c r="I28" s="166">
        <v>1.1742999999999999</v>
      </c>
      <c r="J28" s="162">
        <v>1.1946000000000001</v>
      </c>
      <c r="K28" s="169">
        <v>1.1894</v>
      </c>
      <c r="L28" s="164">
        <v>1.1841999999999999</v>
      </c>
      <c r="M28" s="166">
        <v>1.179</v>
      </c>
      <c r="N28" s="162"/>
      <c r="O28" s="163"/>
      <c r="P28" s="164"/>
      <c r="Q28" s="166"/>
    </row>
    <row r="29" spans="1:17" ht="24.75" thickBot="1">
      <c r="A29" s="157" t="s">
        <v>163</v>
      </c>
      <c r="B29" s="173">
        <v>1.1788000000000001</v>
      </c>
      <c r="C29" s="176">
        <v>1.1733</v>
      </c>
      <c r="D29" s="165">
        <v>1.1677999999999999</v>
      </c>
      <c r="E29" s="177">
        <v>1.1624000000000001</v>
      </c>
      <c r="F29" s="173">
        <v>1.1838</v>
      </c>
      <c r="G29" s="174">
        <v>1.1782999999999999</v>
      </c>
      <c r="H29" s="165">
        <v>1.1728000000000001</v>
      </c>
      <c r="I29" s="177">
        <v>1.1673</v>
      </c>
      <c r="J29" s="173">
        <v>1.1887000000000001</v>
      </c>
      <c r="K29" s="176">
        <v>1.1832</v>
      </c>
      <c r="L29" s="165">
        <v>1.1777</v>
      </c>
      <c r="M29" s="177">
        <v>1.1722999999999999</v>
      </c>
      <c r="N29" s="173"/>
      <c r="O29" s="174"/>
      <c r="P29" s="165"/>
      <c r="Q29" s="167"/>
    </row>
    <row r="30" spans="1:17" ht="24.75" thickTop="1">
      <c r="E30"/>
    </row>
  </sheetData>
  <mergeCells count="5">
    <mergeCell ref="N2:Q2"/>
    <mergeCell ref="N3:Q3"/>
    <mergeCell ref="B3:E3"/>
    <mergeCell ref="F3:I3"/>
    <mergeCell ref="J3:M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zoomScaleNormal="100" workbookViewId="0">
      <selection activeCell="A5" sqref="A5:A20"/>
    </sheetView>
  </sheetViews>
  <sheetFormatPr defaultRowHeight="24"/>
  <cols>
    <col min="1" max="1" width="13.85546875" style="37" customWidth="1"/>
    <col min="2" max="9" width="9.140625" style="37"/>
    <col min="10" max="10" width="12.140625" style="37" bestFit="1" customWidth="1"/>
    <col min="11" max="11" width="11.85546875" style="37" bestFit="1" customWidth="1"/>
    <col min="12" max="13" width="11.85546875" style="37" customWidth="1"/>
    <col min="14" max="22" width="9.140625" style="37"/>
    <col min="23" max="23" width="11.85546875" style="37" bestFit="1" customWidth="1"/>
    <col min="24" max="25" width="11.85546875" style="37" customWidth="1"/>
    <col min="26" max="34" width="9.140625" style="37"/>
    <col min="35" max="35" width="11.85546875" style="37" bestFit="1" customWidth="1"/>
    <col min="36" max="37" width="11.85546875" style="37" customWidth="1"/>
  </cols>
  <sheetData>
    <row r="1" spans="1:37" ht="22.5" thickBot="1">
      <c r="A1" s="172">
        <v>1</v>
      </c>
      <c r="B1" s="172">
        <v>2</v>
      </c>
      <c r="C1" s="172">
        <v>3</v>
      </c>
      <c r="D1" s="172">
        <v>4</v>
      </c>
      <c r="E1" s="172">
        <v>5</v>
      </c>
      <c r="F1" s="172">
        <v>6</v>
      </c>
      <c r="G1" s="172">
        <v>7</v>
      </c>
      <c r="H1" s="172">
        <v>8</v>
      </c>
      <c r="I1" s="172">
        <v>9</v>
      </c>
      <c r="J1" s="172">
        <v>10</v>
      </c>
      <c r="K1" s="172">
        <v>11</v>
      </c>
      <c r="L1" s="172">
        <v>12</v>
      </c>
      <c r="M1" s="172">
        <v>13</v>
      </c>
      <c r="N1" s="172">
        <v>14</v>
      </c>
      <c r="O1" s="172">
        <v>15</v>
      </c>
      <c r="P1" s="172">
        <v>16</v>
      </c>
      <c r="Q1" s="172">
        <v>17</v>
      </c>
      <c r="R1" s="172">
        <v>18</v>
      </c>
      <c r="S1" s="172">
        <v>19</v>
      </c>
      <c r="T1" s="172">
        <v>20</v>
      </c>
      <c r="U1" s="172">
        <v>21</v>
      </c>
      <c r="V1" s="172">
        <v>22</v>
      </c>
      <c r="W1" s="172">
        <v>23</v>
      </c>
      <c r="X1" s="172">
        <v>24</v>
      </c>
      <c r="Y1" s="172">
        <v>25</v>
      </c>
      <c r="Z1" s="172">
        <v>26</v>
      </c>
      <c r="AA1" s="172">
        <v>27</v>
      </c>
      <c r="AB1" s="172">
        <v>28</v>
      </c>
      <c r="AC1" s="172">
        <v>29</v>
      </c>
      <c r="AD1" s="172">
        <v>30</v>
      </c>
      <c r="AE1" s="172">
        <v>31</v>
      </c>
      <c r="AF1" s="172">
        <v>32</v>
      </c>
      <c r="AG1" s="172">
        <v>33</v>
      </c>
      <c r="AH1" s="172">
        <v>34</v>
      </c>
      <c r="AI1" s="172">
        <v>35</v>
      </c>
      <c r="AJ1" s="172">
        <v>36</v>
      </c>
      <c r="AK1" s="172">
        <v>37</v>
      </c>
    </row>
    <row r="2" spans="1:37" ht="30.75" thickTop="1" thickBot="1">
      <c r="A2" s="161" t="s">
        <v>109</v>
      </c>
      <c r="B2" s="674">
        <v>0</v>
      </c>
      <c r="C2" s="675"/>
      <c r="D2" s="675"/>
      <c r="E2" s="675"/>
      <c r="F2" s="675"/>
      <c r="G2" s="675"/>
      <c r="H2" s="675"/>
      <c r="I2" s="675"/>
      <c r="J2" s="675"/>
      <c r="K2" s="675"/>
      <c r="L2" s="219"/>
      <c r="M2" s="219"/>
      <c r="N2" s="674">
        <v>0.05</v>
      </c>
      <c r="O2" s="675"/>
      <c r="P2" s="675"/>
      <c r="Q2" s="675"/>
      <c r="R2" s="675"/>
      <c r="S2" s="675"/>
      <c r="T2" s="675"/>
      <c r="U2" s="675"/>
      <c r="V2" s="675"/>
      <c r="W2" s="675"/>
      <c r="X2" s="222"/>
      <c r="Y2" s="222"/>
      <c r="Z2" s="674">
        <v>0.1</v>
      </c>
      <c r="AA2" s="675"/>
      <c r="AB2" s="675"/>
      <c r="AC2" s="675"/>
      <c r="AD2" s="675"/>
      <c r="AE2" s="675"/>
      <c r="AF2" s="675"/>
      <c r="AG2" s="675"/>
      <c r="AH2" s="675"/>
      <c r="AI2" s="675"/>
      <c r="AJ2" s="222"/>
      <c r="AK2" s="223"/>
    </row>
    <row r="3" spans="1:37" ht="25.5" thickTop="1" thickBot="1">
      <c r="A3" s="154"/>
      <c r="B3" s="672" t="s">
        <v>39</v>
      </c>
      <c r="C3" s="673"/>
      <c r="D3" s="673"/>
      <c r="E3" s="673"/>
      <c r="F3" s="673"/>
      <c r="G3" s="673"/>
      <c r="H3" s="673"/>
      <c r="I3" s="673"/>
      <c r="J3" s="673"/>
      <c r="K3" s="673"/>
      <c r="L3" s="218"/>
      <c r="M3" s="218"/>
      <c r="N3" s="672" t="s">
        <v>39</v>
      </c>
      <c r="O3" s="673"/>
      <c r="P3" s="673"/>
      <c r="Q3" s="673"/>
      <c r="R3" s="673"/>
      <c r="S3" s="673"/>
      <c r="T3" s="673"/>
      <c r="U3" s="673"/>
      <c r="V3" s="673"/>
      <c r="W3" s="673"/>
      <c r="X3" s="220"/>
      <c r="Y3" s="220"/>
      <c r="Z3" s="672" t="s">
        <v>39</v>
      </c>
      <c r="AA3" s="673"/>
      <c r="AB3" s="673"/>
      <c r="AC3" s="673"/>
      <c r="AD3" s="673"/>
      <c r="AE3" s="673"/>
      <c r="AF3" s="673"/>
      <c r="AG3" s="673"/>
      <c r="AH3" s="673"/>
      <c r="AI3" s="673"/>
      <c r="AJ3" s="220"/>
      <c r="AK3" s="221"/>
    </row>
    <row r="4" spans="1:37" ht="24.75" thickTop="1">
      <c r="A4" s="241"/>
      <c r="B4" s="679">
        <v>0</v>
      </c>
      <c r="C4" s="680"/>
      <c r="D4" s="681"/>
      <c r="E4" s="676">
        <v>0.05</v>
      </c>
      <c r="F4" s="677"/>
      <c r="G4" s="678"/>
      <c r="H4" s="677">
        <v>0.1</v>
      </c>
      <c r="I4" s="677"/>
      <c r="J4" s="678"/>
      <c r="K4" s="677">
        <v>0.15</v>
      </c>
      <c r="L4" s="677"/>
      <c r="M4" s="682"/>
      <c r="N4" s="679">
        <v>0</v>
      </c>
      <c r="O4" s="680"/>
      <c r="P4" s="681"/>
      <c r="Q4" s="676">
        <v>0.05</v>
      </c>
      <c r="R4" s="677"/>
      <c r="S4" s="678"/>
      <c r="T4" s="677">
        <v>0.1</v>
      </c>
      <c r="U4" s="677"/>
      <c r="V4" s="678"/>
      <c r="W4" s="677">
        <v>0.15</v>
      </c>
      <c r="X4" s="677"/>
      <c r="Y4" s="682"/>
      <c r="Z4" s="679">
        <v>0</v>
      </c>
      <c r="AA4" s="680"/>
      <c r="AB4" s="681"/>
      <c r="AC4" s="676">
        <v>0.05</v>
      </c>
      <c r="AD4" s="677"/>
      <c r="AE4" s="678"/>
      <c r="AF4" s="677">
        <v>0.1</v>
      </c>
      <c r="AG4" s="677"/>
      <c r="AH4" s="678"/>
      <c r="AI4" s="677">
        <v>0.15</v>
      </c>
      <c r="AJ4" s="677"/>
      <c r="AK4" s="682"/>
    </row>
    <row r="5" spans="1:37">
      <c r="A5" s="255" t="s">
        <v>40</v>
      </c>
      <c r="B5" s="243" t="s">
        <v>162</v>
      </c>
      <c r="C5" s="242" t="s">
        <v>160</v>
      </c>
      <c r="D5" s="242" t="s">
        <v>161</v>
      </c>
      <c r="E5" s="243" t="s">
        <v>162</v>
      </c>
      <c r="F5" s="242" t="s">
        <v>160</v>
      </c>
      <c r="G5" s="242" t="s">
        <v>161</v>
      </c>
      <c r="H5" s="243" t="s">
        <v>162</v>
      </c>
      <c r="I5" s="242" t="s">
        <v>160</v>
      </c>
      <c r="J5" s="243" t="s">
        <v>161</v>
      </c>
      <c r="K5" s="243" t="s">
        <v>162</v>
      </c>
      <c r="L5" s="242" t="s">
        <v>160</v>
      </c>
      <c r="M5" s="256" t="s">
        <v>161</v>
      </c>
      <c r="N5" s="243" t="s">
        <v>162</v>
      </c>
      <c r="O5" s="242" t="s">
        <v>160</v>
      </c>
      <c r="P5" s="242" t="s">
        <v>161</v>
      </c>
      <c r="Q5" s="243" t="s">
        <v>162</v>
      </c>
      <c r="R5" s="242" t="s">
        <v>160</v>
      </c>
      <c r="S5" s="242" t="s">
        <v>161</v>
      </c>
      <c r="T5" s="243" t="s">
        <v>162</v>
      </c>
      <c r="U5" s="242" t="s">
        <v>160</v>
      </c>
      <c r="V5" s="243" t="s">
        <v>161</v>
      </c>
      <c r="W5" s="243" t="s">
        <v>162</v>
      </c>
      <c r="X5" s="242" t="s">
        <v>160</v>
      </c>
      <c r="Y5" s="256" t="s">
        <v>161</v>
      </c>
      <c r="Z5" s="243" t="s">
        <v>162</v>
      </c>
      <c r="AA5" s="242" t="s">
        <v>160</v>
      </c>
      <c r="AB5" s="242" t="s">
        <v>161</v>
      </c>
      <c r="AC5" s="243" t="s">
        <v>162</v>
      </c>
      <c r="AD5" s="242" t="s">
        <v>160</v>
      </c>
      <c r="AE5" s="242" t="s">
        <v>161</v>
      </c>
      <c r="AF5" s="243" t="s">
        <v>162</v>
      </c>
      <c r="AG5" s="242" t="s">
        <v>160</v>
      </c>
      <c r="AH5" s="243" t="s">
        <v>161</v>
      </c>
      <c r="AI5" s="243" t="s">
        <v>162</v>
      </c>
      <c r="AJ5" s="242" t="s">
        <v>160</v>
      </c>
      <c r="AK5" s="259" t="s">
        <v>161</v>
      </c>
    </row>
    <row r="6" spans="1:37">
      <c r="A6" s="156">
        <v>0</v>
      </c>
      <c r="B6" s="234">
        <v>1.3624000000000001</v>
      </c>
      <c r="C6" s="235">
        <v>1.3822000000000001</v>
      </c>
      <c r="D6" s="235">
        <v>1.4018999999999999</v>
      </c>
      <c r="E6" s="236">
        <v>1.3613999999999999</v>
      </c>
      <c r="F6" s="236">
        <v>1.3811</v>
      </c>
      <c r="G6" s="236">
        <v>1.4008</v>
      </c>
      <c r="H6" s="237">
        <v>1.3603000000000001</v>
      </c>
      <c r="I6" s="238">
        <v>1.38</v>
      </c>
      <c r="J6" s="238">
        <v>1.3996999999999999</v>
      </c>
      <c r="K6" s="239">
        <v>1.3592</v>
      </c>
      <c r="L6" s="239">
        <v>1.3789</v>
      </c>
      <c r="M6" s="240">
        <v>1.3987000000000001</v>
      </c>
      <c r="N6" s="234">
        <v>1.363</v>
      </c>
      <c r="O6" s="235">
        <v>1.3827</v>
      </c>
      <c r="P6" s="235">
        <v>1.4024000000000001</v>
      </c>
      <c r="Q6" s="236">
        <v>1.3619000000000001</v>
      </c>
      <c r="R6" s="236">
        <v>1.3815999999999999</v>
      </c>
      <c r="S6" s="236">
        <v>1.4013</v>
      </c>
      <c r="T6" s="237">
        <v>1.3608</v>
      </c>
      <c r="U6" s="238">
        <v>1.3805000000000001</v>
      </c>
      <c r="V6" s="238">
        <v>1.4003000000000001</v>
      </c>
      <c r="W6" s="239">
        <v>1.3597999999999999</v>
      </c>
      <c r="X6" s="239">
        <v>1.3794999999999999</v>
      </c>
      <c r="Y6" s="258">
        <v>1.3992</v>
      </c>
      <c r="Z6" s="257">
        <v>1.3634999999999999</v>
      </c>
      <c r="AA6" s="235">
        <v>1.3832</v>
      </c>
      <c r="AB6" s="235">
        <v>1.4029</v>
      </c>
      <c r="AC6" s="236">
        <v>1.3624000000000001</v>
      </c>
      <c r="AD6" s="236">
        <v>1.3822000000000001</v>
      </c>
      <c r="AE6" s="236">
        <v>1.4018999999999999</v>
      </c>
      <c r="AF6" s="237">
        <v>1.3613999999999999</v>
      </c>
      <c r="AG6" s="238">
        <v>1.3811</v>
      </c>
      <c r="AH6" s="238">
        <v>1.1008</v>
      </c>
      <c r="AI6" s="239">
        <v>1.3603000000000001</v>
      </c>
      <c r="AJ6" s="239">
        <v>1.38</v>
      </c>
      <c r="AK6" s="260">
        <v>1.3996999999999999</v>
      </c>
    </row>
    <row r="7" spans="1:37">
      <c r="A7" s="156">
        <v>5</v>
      </c>
      <c r="B7" s="224">
        <v>1.3624000000000001</v>
      </c>
      <c r="C7" s="235">
        <v>1.3822000000000001</v>
      </c>
      <c r="D7" s="235">
        <v>1.4018999999999999</v>
      </c>
      <c r="E7" s="169">
        <v>1.3613999999999999</v>
      </c>
      <c r="F7" s="169">
        <v>1.3811</v>
      </c>
      <c r="G7" s="169">
        <v>1.4008</v>
      </c>
      <c r="H7" s="237">
        <v>1.3603000000000001</v>
      </c>
      <c r="I7" s="228">
        <v>1.38</v>
      </c>
      <c r="J7" s="228">
        <v>1.3996999999999999</v>
      </c>
      <c r="K7" s="232">
        <v>1.3592</v>
      </c>
      <c r="L7" s="232">
        <v>1.3789</v>
      </c>
      <c r="M7" s="230">
        <v>1.3987000000000001</v>
      </c>
      <c r="N7" s="224">
        <v>1.363</v>
      </c>
      <c r="O7" s="226">
        <v>1.3827</v>
      </c>
      <c r="P7" s="235">
        <v>1.4024000000000001</v>
      </c>
      <c r="Q7" s="169">
        <v>1.3619000000000001</v>
      </c>
      <c r="R7" s="169">
        <v>1.3815999999999999</v>
      </c>
      <c r="S7" s="169">
        <v>1.4013</v>
      </c>
      <c r="T7" s="164">
        <v>1.3608</v>
      </c>
      <c r="U7" s="228">
        <v>1.3805000000000001</v>
      </c>
      <c r="V7" s="228">
        <v>1.4003000000000001</v>
      </c>
      <c r="W7" s="232">
        <v>1.3597999999999999</v>
      </c>
      <c r="X7" s="232">
        <v>1.3794999999999999</v>
      </c>
      <c r="Y7" s="230">
        <v>1.3992</v>
      </c>
      <c r="Z7" s="224">
        <v>1.3634999999999999</v>
      </c>
      <c r="AA7" s="226">
        <v>1.3832</v>
      </c>
      <c r="AB7" s="226">
        <v>1.4029</v>
      </c>
      <c r="AC7" s="169">
        <v>1.3624000000000001</v>
      </c>
      <c r="AD7" s="169">
        <v>1.3822000000000001</v>
      </c>
      <c r="AE7" s="169">
        <v>1.4018999999999999</v>
      </c>
      <c r="AF7" s="164">
        <v>1.3613999999999999</v>
      </c>
      <c r="AG7" s="228">
        <v>1.3811</v>
      </c>
      <c r="AH7" s="228">
        <v>1.4008</v>
      </c>
      <c r="AI7" s="232">
        <v>1.3603000000000001</v>
      </c>
      <c r="AJ7" s="232">
        <v>1.38</v>
      </c>
      <c r="AK7" s="261">
        <v>1.3996999999999999</v>
      </c>
    </row>
    <row r="8" spans="1:37">
      <c r="A8" s="156">
        <v>10</v>
      </c>
      <c r="B8" s="224">
        <v>1.3116000000000001</v>
      </c>
      <c r="C8" s="226">
        <v>1.3319000000000001</v>
      </c>
      <c r="D8" s="226">
        <v>1.3522000000000001</v>
      </c>
      <c r="E8" s="169">
        <v>1.3103</v>
      </c>
      <c r="F8" s="169">
        <v>1.3306</v>
      </c>
      <c r="G8" s="169">
        <v>1.3509</v>
      </c>
      <c r="H8" s="164">
        <v>1.3089</v>
      </c>
      <c r="I8" s="228">
        <v>1.3291999999999999</v>
      </c>
      <c r="J8" s="228">
        <v>1.3495999999999999</v>
      </c>
      <c r="K8" s="232">
        <v>1.3076000000000001</v>
      </c>
      <c r="L8" s="232">
        <v>1.3280000000000001</v>
      </c>
      <c r="M8" s="230">
        <v>1.3483000000000001</v>
      </c>
      <c r="N8" s="224">
        <v>1.3125</v>
      </c>
      <c r="O8" s="226">
        <v>1.3328</v>
      </c>
      <c r="P8" s="226">
        <v>1.3531</v>
      </c>
      <c r="Q8" s="169">
        <v>1.3110999999999999</v>
      </c>
      <c r="R8" s="169">
        <v>1.3313999999999999</v>
      </c>
      <c r="S8" s="169">
        <v>1.3516999999999999</v>
      </c>
      <c r="T8" s="164">
        <v>1.3098000000000001</v>
      </c>
      <c r="U8" s="228">
        <v>1.3301000000000001</v>
      </c>
      <c r="V8" s="228">
        <v>1.3504</v>
      </c>
      <c r="W8" s="232">
        <v>1.3084</v>
      </c>
      <c r="X8" s="232">
        <v>1.3287</v>
      </c>
      <c r="Y8" s="230">
        <v>1.349</v>
      </c>
      <c r="Z8" s="224">
        <v>1.3131999999999999</v>
      </c>
      <c r="AA8" s="226">
        <v>1.3334999999999999</v>
      </c>
      <c r="AB8" s="226">
        <v>1.3537999999999999</v>
      </c>
      <c r="AC8" s="169">
        <v>1.3119000000000001</v>
      </c>
      <c r="AD8" s="169">
        <v>1.3322000000000001</v>
      </c>
      <c r="AE8" s="169">
        <v>1.3526</v>
      </c>
      <c r="AF8" s="164">
        <v>1.3105</v>
      </c>
      <c r="AG8" s="228">
        <v>1.3308</v>
      </c>
      <c r="AH8" s="228">
        <v>1.3512</v>
      </c>
      <c r="AI8" s="232">
        <v>1.3092999999999999</v>
      </c>
      <c r="AJ8" s="232">
        <v>1.3295999999999999</v>
      </c>
      <c r="AK8" s="261">
        <v>1.3499000000000001</v>
      </c>
    </row>
    <row r="9" spans="1:37">
      <c r="A9" s="156">
        <v>20</v>
      </c>
      <c r="B9" s="224">
        <v>1.2534000000000001</v>
      </c>
      <c r="C9" s="226">
        <v>1.12717</v>
      </c>
      <c r="D9" s="226">
        <v>1.2899</v>
      </c>
      <c r="E9" s="169">
        <v>1.2519</v>
      </c>
      <c r="F9" s="169">
        <v>1.2702</v>
      </c>
      <c r="G9" s="169">
        <v>1.2884</v>
      </c>
      <c r="H9" s="164">
        <v>1.2504</v>
      </c>
      <c r="I9" s="228">
        <v>1.2686999999999999</v>
      </c>
      <c r="J9" s="228">
        <v>1.2868999999999999</v>
      </c>
      <c r="K9" s="232">
        <v>1.2490000000000001</v>
      </c>
      <c r="L9" s="232">
        <v>1.2673000000000001</v>
      </c>
      <c r="M9" s="230">
        <v>1.2855000000000001</v>
      </c>
      <c r="N9" s="224">
        <v>1.2544</v>
      </c>
      <c r="O9" s="226">
        <v>1.2726</v>
      </c>
      <c r="P9" s="226">
        <v>1.2908999999999999</v>
      </c>
      <c r="Q9" s="169">
        <v>1.2528999999999999</v>
      </c>
      <c r="R9" s="169">
        <v>1.2710999999999999</v>
      </c>
      <c r="S9" s="169">
        <v>1.2894000000000001</v>
      </c>
      <c r="T9" s="164">
        <v>1.2514000000000001</v>
      </c>
      <c r="U9" s="228">
        <v>1.2696000000000001</v>
      </c>
      <c r="V9" s="228">
        <v>1.2879</v>
      </c>
      <c r="W9" s="232">
        <v>1.2499</v>
      </c>
      <c r="X9" s="232">
        <v>1.2681</v>
      </c>
      <c r="Y9" s="230">
        <v>1.2864</v>
      </c>
      <c r="Z9" s="224">
        <v>1.2552000000000001</v>
      </c>
      <c r="AA9" s="226">
        <v>1.2735000000000001</v>
      </c>
      <c r="AB9" s="226">
        <v>1.2917000000000001</v>
      </c>
      <c r="AC9" s="169">
        <v>1.2537799999999999</v>
      </c>
      <c r="AD9" s="169">
        <v>1.2721</v>
      </c>
      <c r="AE9" s="169">
        <v>1.2903</v>
      </c>
      <c r="AF9" s="164">
        <v>1.2523</v>
      </c>
      <c r="AG9" s="228">
        <v>1.2706</v>
      </c>
      <c r="AH9" s="228">
        <v>1.2887999999999999</v>
      </c>
      <c r="AI9" s="232">
        <v>1.2507999999999999</v>
      </c>
      <c r="AJ9" s="232">
        <v>1.2690999999999999</v>
      </c>
      <c r="AK9" s="261">
        <v>1.2873000000000001</v>
      </c>
    </row>
    <row r="10" spans="1:37">
      <c r="A10" s="156">
        <v>30</v>
      </c>
      <c r="B10" s="224">
        <v>1.2203999999999999</v>
      </c>
      <c r="C10" s="226">
        <v>1.2369000000000001</v>
      </c>
      <c r="D10" s="226">
        <v>1.2533000000000001</v>
      </c>
      <c r="E10" s="169">
        <v>1.2189000000000001</v>
      </c>
      <c r="F10" s="169">
        <v>1.2354000000000001</v>
      </c>
      <c r="G10" s="169">
        <v>1.2518</v>
      </c>
      <c r="H10" s="164">
        <v>1.2174</v>
      </c>
      <c r="I10" s="228">
        <v>1.2339</v>
      </c>
      <c r="J10" s="228">
        <v>1.2503</v>
      </c>
      <c r="K10" s="232">
        <v>1.2159</v>
      </c>
      <c r="L10" s="232">
        <v>1.2323999999999999</v>
      </c>
      <c r="M10" s="230">
        <v>1.2487999999999999</v>
      </c>
      <c r="N10" s="224">
        <v>1.2213000000000001</v>
      </c>
      <c r="O10" s="226">
        <v>1.2377</v>
      </c>
      <c r="P10" s="226">
        <v>1.2541</v>
      </c>
      <c r="Q10" s="169">
        <v>1.2199</v>
      </c>
      <c r="R10" s="169">
        <v>1.2363</v>
      </c>
      <c r="S10" s="169">
        <v>1.2526999999999999</v>
      </c>
      <c r="T10" s="164">
        <v>1.2183999999999999</v>
      </c>
      <c r="U10" s="228">
        <v>1.2347999999999999</v>
      </c>
      <c r="V10" s="228">
        <v>1.2512000000000001</v>
      </c>
      <c r="W10" s="232">
        <v>1.2169000000000001</v>
      </c>
      <c r="X10" s="232">
        <v>1.2333000000000001</v>
      </c>
      <c r="Y10" s="230">
        <v>1.2498</v>
      </c>
      <c r="Z10" s="224">
        <v>1.2222999999999999</v>
      </c>
      <c r="AA10" s="226">
        <v>1.2386999999999999</v>
      </c>
      <c r="AB10" s="226">
        <v>1.2551000000000001</v>
      </c>
      <c r="AC10" s="169">
        <v>1.2208000000000001</v>
      </c>
      <c r="AD10" s="169">
        <v>1.2372000000000001</v>
      </c>
      <c r="AE10" s="169">
        <v>1.2536</v>
      </c>
      <c r="AF10" s="164">
        <v>1.2194</v>
      </c>
      <c r="AG10" s="228">
        <v>1.2358</v>
      </c>
      <c r="AH10" s="228">
        <v>1.2522</v>
      </c>
      <c r="AI10" s="232">
        <v>1.2179</v>
      </c>
      <c r="AJ10" s="232">
        <v>1.2343</v>
      </c>
      <c r="AK10" s="261">
        <v>1.2506999999999999</v>
      </c>
    </row>
    <row r="11" spans="1:37">
      <c r="A11" s="156">
        <v>40</v>
      </c>
      <c r="B11" s="224">
        <v>1.2137</v>
      </c>
      <c r="C11" s="226">
        <v>1.2316</v>
      </c>
      <c r="D11" s="226">
        <v>1.2496</v>
      </c>
      <c r="E11" s="169">
        <v>1.2119</v>
      </c>
      <c r="F11" s="169">
        <v>1.2298</v>
      </c>
      <c r="G11" s="169">
        <v>1.2478</v>
      </c>
      <c r="H11" s="164">
        <v>1.21</v>
      </c>
      <c r="I11" s="228">
        <v>1.2279</v>
      </c>
      <c r="J11" s="228">
        <v>1.2458</v>
      </c>
      <c r="K11" s="232">
        <v>1.2081</v>
      </c>
      <c r="L11" s="232">
        <v>1.2261</v>
      </c>
      <c r="M11" s="230">
        <v>1.244</v>
      </c>
      <c r="N11" s="224">
        <v>1.2151000000000001</v>
      </c>
      <c r="O11" s="226">
        <v>1.2330000000000001</v>
      </c>
      <c r="P11" s="226">
        <v>1.2509999999999999</v>
      </c>
      <c r="Q11" s="169">
        <v>1.2132000000000001</v>
      </c>
      <c r="R11" s="169">
        <v>1.2311000000000001</v>
      </c>
      <c r="S11" s="169">
        <v>1.2490000000000001</v>
      </c>
      <c r="T11" s="164">
        <v>1.2113</v>
      </c>
      <c r="U11" s="228">
        <v>1.2293000000000001</v>
      </c>
      <c r="V11" s="228">
        <v>1.2472000000000001</v>
      </c>
      <c r="W11" s="232">
        <v>1.2094</v>
      </c>
      <c r="X11" s="232">
        <v>1.2274</v>
      </c>
      <c r="Y11" s="230">
        <v>1.2453000000000001</v>
      </c>
      <c r="Z11" s="224">
        <v>1.2163999999999999</v>
      </c>
      <c r="AA11" s="226">
        <v>1.2343</v>
      </c>
      <c r="AB11" s="226">
        <v>1.2522</v>
      </c>
      <c r="AC11" s="169">
        <v>1.2145999999999999</v>
      </c>
      <c r="AD11" s="169">
        <v>1.2324999999999999</v>
      </c>
      <c r="AE11" s="169">
        <v>1.2504</v>
      </c>
      <c r="AF11" s="164">
        <v>1.2125999999999999</v>
      </c>
      <c r="AG11" s="228">
        <v>1.2305999999999999</v>
      </c>
      <c r="AH11" s="228">
        <v>1.2484999999999999</v>
      </c>
      <c r="AI11" s="232">
        <v>1.2108000000000001</v>
      </c>
      <c r="AJ11" s="232">
        <v>1.2286999999999999</v>
      </c>
      <c r="AK11" s="261">
        <v>1.2466999999999999</v>
      </c>
    </row>
    <row r="12" spans="1:37">
      <c r="A12" s="156">
        <v>50</v>
      </c>
      <c r="B12" s="224">
        <v>1.2084999999999999</v>
      </c>
      <c r="C12" s="226">
        <v>1.2264999999999999</v>
      </c>
      <c r="D12" s="226">
        <v>1.2444999999999999</v>
      </c>
      <c r="E12" s="169">
        <v>1.2063999999999999</v>
      </c>
      <c r="F12" s="169">
        <v>1.2244999999999999</v>
      </c>
      <c r="G12" s="169">
        <v>1.2424999999999999</v>
      </c>
      <c r="H12" s="164">
        <v>1.2044999999999999</v>
      </c>
      <c r="I12" s="228">
        <v>1.2224999999999999</v>
      </c>
      <c r="J12" s="228">
        <v>1.2405999999999999</v>
      </c>
      <c r="K12" s="232">
        <v>1.2024999999999999</v>
      </c>
      <c r="L12" s="232">
        <v>1.2204999999999999</v>
      </c>
      <c r="M12" s="230">
        <v>1.2384999999999999</v>
      </c>
      <c r="N12" s="224">
        <v>1.21</v>
      </c>
      <c r="O12" s="226">
        <v>1.228</v>
      </c>
      <c r="P12" s="226">
        <v>1.246</v>
      </c>
      <c r="Q12" s="169">
        <v>1.2079</v>
      </c>
      <c r="R12" s="169">
        <v>1.2259</v>
      </c>
      <c r="S12" s="169">
        <v>1.244</v>
      </c>
      <c r="T12" s="164">
        <v>1.2059</v>
      </c>
      <c r="U12" s="228">
        <v>1.2239</v>
      </c>
      <c r="V12" s="228">
        <v>1.2419</v>
      </c>
      <c r="W12" s="232">
        <v>1.204</v>
      </c>
      <c r="X12" s="232">
        <v>1.222</v>
      </c>
      <c r="Y12" s="230">
        <v>1.24</v>
      </c>
      <c r="Z12" s="224">
        <v>1.2115</v>
      </c>
      <c r="AA12" s="226">
        <v>1.2295</v>
      </c>
      <c r="AB12" s="226">
        <v>1.2475000000000001</v>
      </c>
      <c r="AC12" s="169">
        <v>1.2094</v>
      </c>
      <c r="AD12" s="169">
        <v>1.2274</v>
      </c>
      <c r="AE12" s="169">
        <v>1.2455000000000001</v>
      </c>
      <c r="AF12" s="164">
        <v>1.2074</v>
      </c>
      <c r="AG12" s="228">
        <v>1.2254</v>
      </c>
      <c r="AH12" s="228">
        <v>1.4339999999999999</v>
      </c>
      <c r="AI12" s="232">
        <v>1.2054</v>
      </c>
      <c r="AJ12" s="232">
        <v>1.2234</v>
      </c>
      <c r="AK12" s="261">
        <v>1.2414000000000001</v>
      </c>
    </row>
    <row r="13" spans="1:37">
      <c r="A13" s="156">
        <v>60</v>
      </c>
      <c r="B13" s="224">
        <v>1.2024999999999999</v>
      </c>
      <c r="C13" s="226">
        <v>1.2203999999999999</v>
      </c>
      <c r="D13" s="226">
        <v>1.2383999999999999</v>
      </c>
      <c r="E13" s="169">
        <v>1.2002999999999999</v>
      </c>
      <c r="F13" s="169">
        <v>1.2182999999999999</v>
      </c>
      <c r="G13" s="169">
        <v>1.2363</v>
      </c>
      <c r="H13" s="164">
        <v>1.1981999999999999</v>
      </c>
      <c r="I13" s="228">
        <v>1.2161999999999999</v>
      </c>
      <c r="J13" s="228">
        <v>1.2341</v>
      </c>
      <c r="K13" s="232">
        <v>1.196</v>
      </c>
      <c r="L13" s="232">
        <v>1.214</v>
      </c>
      <c r="M13" s="230">
        <v>1.232</v>
      </c>
      <c r="N13" s="224">
        <v>1.2040999999999999</v>
      </c>
      <c r="O13" s="226">
        <v>1.222</v>
      </c>
      <c r="P13" s="226">
        <v>1.24</v>
      </c>
      <c r="Q13" s="169">
        <v>1.2019</v>
      </c>
      <c r="R13" s="169">
        <v>1.2199</v>
      </c>
      <c r="S13" s="169">
        <v>1.2379</v>
      </c>
      <c r="T13" s="164">
        <v>1.1998</v>
      </c>
      <c r="U13" s="228">
        <v>1.2178</v>
      </c>
      <c r="V13" s="228">
        <v>1.2357</v>
      </c>
      <c r="W13" s="232">
        <v>1.1977</v>
      </c>
      <c r="X13" s="232">
        <v>1.2156</v>
      </c>
      <c r="Y13" s="230">
        <v>1.2336</v>
      </c>
      <c r="Z13" s="224">
        <v>1.2057</v>
      </c>
      <c r="AA13" s="226">
        <v>1.2236</v>
      </c>
      <c r="AB13" s="226">
        <v>1.2416</v>
      </c>
      <c r="AC13" s="169">
        <v>1.2035</v>
      </c>
      <c r="AD13" s="169">
        <v>1.2215</v>
      </c>
      <c r="AE13" s="169">
        <v>1.2395</v>
      </c>
      <c r="AF13" s="164">
        <v>1.2014</v>
      </c>
      <c r="AG13" s="228">
        <v>1.2194</v>
      </c>
      <c r="AH13" s="228">
        <v>1.2373000000000001</v>
      </c>
      <c r="AI13" s="232">
        <v>1.1993</v>
      </c>
      <c r="AJ13" s="232">
        <v>1.2172000000000001</v>
      </c>
      <c r="AK13" s="261">
        <v>1.2352000000000001</v>
      </c>
    </row>
    <row r="14" spans="1:37">
      <c r="A14" s="156">
        <v>70</v>
      </c>
      <c r="B14" s="224">
        <v>1.1967000000000001</v>
      </c>
      <c r="C14" s="226">
        <v>1.2151000000000001</v>
      </c>
      <c r="D14" s="226">
        <v>1.2334000000000001</v>
      </c>
      <c r="E14" s="169">
        <v>1.1943999999999999</v>
      </c>
      <c r="F14" s="169">
        <v>1.2128000000000001</v>
      </c>
      <c r="G14" s="169">
        <v>1.2312000000000001</v>
      </c>
      <c r="H14" s="164">
        <v>1.1921999999999999</v>
      </c>
      <c r="I14" s="228">
        <v>1.2105999999999999</v>
      </c>
      <c r="J14" s="228">
        <v>1.2290000000000001</v>
      </c>
      <c r="K14" s="232">
        <v>1.1899</v>
      </c>
      <c r="L14" s="232">
        <v>1.2082999999999999</v>
      </c>
      <c r="M14" s="230">
        <v>1.2266999999999999</v>
      </c>
      <c r="N14" s="224">
        <v>1.1984999999999999</v>
      </c>
      <c r="O14" s="226">
        <v>1.2169000000000001</v>
      </c>
      <c r="P14" s="226">
        <v>1.2353000000000001</v>
      </c>
      <c r="Q14" s="169">
        <v>1.1961999999999999</v>
      </c>
      <c r="R14" s="169">
        <v>1.2144999999999999</v>
      </c>
      <c r="S14" s="169">
        <v>1.2329000000000001</v>
      </c>
      <c r="T14" s="164">
        <v>1.1939</v>
      </c>
      <c r="U14" s="228">
        <v>1.2122999999999999</v>
      </c>
      <c r="V14" s="228">
        <v>1.2306999999999999</v>
      </c>
      <c r="W14" s="232">
        <v>1.1917</v>
      </c>
      <c r="X14" s="232">
        <v>1.21</v>
      </c>
      <c r="Y14" s="230">
        <v>1.2283999999999999</v>
      </c>
      <c r="Z14" s="224">
        <v>1.2001999999999999</v>
      </c>
      <c r="AA14" s="226">
        <v>1.2185999999999999</v>
      </c>
      <c r="AB14" s="226">
        <v>1.2370000000000001</v>
      </c>
      <c r="AC14" s="169">
        <v>1.198</v>
      </c>
      <c r="AD14" s="169">
        <v>1.2163999999999999</v>
      </c>
      <c r="AE14" s="169">
        <v>1.2346999999999999</v>
      </c>
      <c r="AF14" s="164">
        <v>1.1956</v>
      </c>
      <c r="AG14" s="228">
        <v>1.214</v>
      </c>
      <c r="AH14" s="228">
        <v>1.2323999999999999</v>
      </c>
      <c r="AI14" s="232">
        <v>1.1934</v>
      </c>
      <c r="AJ14" s="232">
        <v>1.2118</v>
      </c>
      <c r="AK14" s="261">
        <v>1.2301</v>
      </c>
    </row>
    <row r="15" spans="1:37">
      <c r="A15" s="156">
        <v>80</v>
      </c>
      <c r="B15" s="224">
        <v>1.1933</v>
      </c>
      <c r="C15" s="226">
        <v>1.2117</v>
      </c>
      <c r="D15" s="226">
        <v>1.2302</v>
      </c>
      <c r="E15" s="169">
        <v>1.1909000000000001</v>
      </c>
      <c r="F15" s="169">
        <v>1.2094</v>
      </c>
      <c r="G15" s="169">
        <v>1.2278</v>
      </c>
      <c r="H15" s="164">
        <v>1.1883999999999999</v>
      </c>
      <c r="I15" s="228">
        <v>1.2069000000000001</v>
      </c>
      <c r="J15" s="228">
        <v>1.2254</v>
      </c>
      <c r="K15" s="232">
        <v>1.1860999999999999</v>
      </c>
      <c r="L15" s="232">
        <v>1.2045999999999999</v>
      </c>
      <c r="M15" s="230">
        <v>1.2230000000000001</v>
      </c>
      <c r="N15" s="224">
        <v>1.1952</v>
      </c>
      <c r="O15" s="226">
        <v>1.2137</v>
      </c>
      <c r="P15" s="226">
        <v>1.2321</v>
      </c>
      <c r="Q15" s="169">
        <v>1.1927000000000001</v>
      </c>
      <c r="R15" s="169">
        <v>1.2112000000000001</v>
      </c>
      <c r="S15" s="169">
        <v>1.2297</v>
      </c>
      <c r="T15" s="164">
        <v>1.1903999999999999</v>
      </c>
      <c r="U15" s="228">
        <v>1.2088000000000001</v>
      </c>
      <c r="V15" s="228">
        <v>1.2273000000000001</v>
      </c>
      <c r="W15" s="232">
        <v>1.1879</v>
      </c>
      <c r="X15" s="232">
        <v>1.2063999999999999</v>
      </c>
      <c r="Y15" s="230">
        <v>1.2248000000000001</v>
      </c>
      <c r="Z15" s="224">
        <v>1.1970000000000001</v>
      </c>
      <c r="AA15" s="226">
        <v>1.2155</v>
      </c>
      <c r="AB15" s="226">
        <v>1.2339</v>
      </c>
      <c r="AC15" s="169">
        <v>1.1947000000000001</v>
      </c>
      <c r="AD15" s="169">
        <v>1.2131000000000001</v>
      </c>
      <c r="AE15" s="169">
        <v>1.2316</v>
      </c>
      <c r="AF15" s="164">
        <v>1.1921999999999999</v>
      </c>
      <c r="AG15" s="228">
        <v>1.2107000000000001</v>
      </c>
      <c r="AH15" s="228">
        <v>1.2291000000000001</v>
      </c>
      <c r="AI15" s="232">
        <v>1.1898</v>
      </c>
      <c r="AJ15" s="232">
        <v>1.2082999999999999</v>
      </c>
      <c r="AK15" s="261">
        <v>1.2267999999999999</v>
      </c>
    </row>
    <row r="16" spans="1:37">
      <c r="A16" s="156">
        <v>90</v>
      </c>
      <c r="B16" s="224">
        <v>1.1874</v>
      </c>
      <c r="C16" s="226">
        <v>1.2052</v>
      </c>
      <c r="D16" s="226">
        <v>1.2231000000000001</v>
      </c>
      <c r="E16" s="169">
        <v>1.1850000000000001</v>
      </c>
      <c r="F16" s="169">
        <v>1.2029000000000001</v>
      </c>
      <c r="G16" s="169">
        <v>1.2206999999999999</v>
      </c>
      <c r="H16" s="164">
        <v>1.1826000000000001</v>
      </c>
      <c r="I16" s="228">
        <v>1.2003999999999999</v>
      </c>
      <c r="J16" s="228">
        <v>1.2182999999999999</v>
      </c>
      <c r="K16" s="232">
        <v>1.1801999999999999</v>
      </c>
      <c r="L16" s="232">
        <v>1.1980999999999999</v>
      </c>
      <c r="M16" s="230">
        <v>1.2159</v>
      </c>
      <c r="N16" s="224">
        <v>1.1893</v>
      </c>
      <c r="O16" s="226">
        <v>1.2072000000000001</v>
      </c>
      <c r="P16" s="226">
        <v>1.2250000000000001</v>
      </c>
      <c r="Q16" s="169">
        <v>1.1868000000000001</v>
      </c>
      <c r="R16" s="169">
        <v>1.2047000000000001</v>
      </c>
      <c r="S16" s="169">
        <v>1.2224999999999999</v>
      </c>
      <c r="T16" s="164">
        <v>1.1845000000000001</v>
      </c>
      <c r="U16" s="228">
        <v>1.2022999999999999</v>
      </c>
      <c r="V16" s="228">
        <v>1.2202</v>
      </c>
      <c r="W16" s="232">
        <v>1.1819999999999999</v>
      </c>
      <c r="X16" s="232">
        <v>1.1999</v>
      </c>
      <c r="Y16" s="230">
        <v>1.2177</v>
      </c>
      <c r="Z16" s="224">
        <v>1.1911</v>
      </c>
      <c r="AA16" s="226">
        <v>1.2090000000000001</v>
      </c>
      <c r="AB16" s="226">
        <v>1.2267999999999999</v>
      </c>
      <c r="AC16" s="169">
        <v>1.1888000000000001</v>
      </c>
      <c r="AD16" s="169">
        <v>1.2065999999999999</v>
      </c>
      <c r="AE16" s="169">
        <v>1.2244999999999999</v>
      </c>
      <c r="AF16" s="164">
        <v>1.1862999999999999</v>
      </c>
      <c r="AG16" s="228">
        <v>1.2041999999999999</v>
      </c>
      <c r="AH16" s="228">
        <v>1.222</v>
      </c>
      <c r="AI16" s="232">
        <v>1.1839999999999999</v>
      </c>
      <c r="AJ16" s="232">
        <v>1.2018</v>
      </c>
      <c r="AK16" s="261">
        <v>1.2197</v>
      </c>
    </row>
    <row r="17" spans="1:37">
      <c r="A17" s="156">
        <v>100</v>
      </c>
      <c r="B17" s="224">
        <v>1.1841999999999999</v>
      </c>
      <c r="C17" s="226">
        <v>1.2017</v>
      </c>
      <c r="D17" s="226">
        <v>1.2192000000000001</v>
      </c>
      <c r="E17" s="169">
        <v>1.1817</v>
      </c>
      <c r="F17" s="169">
        <v>1.1992</v>
      </c>
      <c r="G17" s="169">
        <v>1.2166999999999999</v>
      </c>
      <c r="H17" s="164">
        <v>1.1794</v>
      </c>
      <c r="I17" s="228">
        <v>1.1969000000000001</v>
      </c>
      <c r="J17" s="228">
        <v>1.2143999999999999</v>
      </c>
      <c r="K17" s="232">
        <v>1.1769000000000001</v>
      </c>
      <c r="L17" s="232">
        <v>1.1943999999999999</v>
      </c>
      <c r="M17" s="230">
        <v>1.2119</v>
      </c>
      <c r="N17" s="224">
        <v>1.1859999999999999</v>
      </c>
      <c r="O17" s="226">
        <v>1.2035</v>
      </c>
      <c r="P17" s="226">
        <v>1.2210000000000001</v>
      </c>
      <c r="Q17" s="169">
        <v>1.1836</v>
      </c>
      <c r="R17" s="169">
        <v>1.2011000000000001</v>
      </c>
      <c r="S17" s="169">
        <v>1.2186999999999999</v>
      </c>
      <c r="T17" s="164">
        <v>1.1812</v>
      </c>
      <c r="U17" s="228">
        <v>1.1987000000000001</v>
      </c>
      <c r="V17" s="228">
        <v>1.2161999999999999</v>
      </c>
      <c r="W17" s="232">
        <v>1.1788000000000001</v>
      </c>
      <c r="X17" s="232">
        <v>1.1962999999999999</v>
      </c>
      <c r="Y17" s="230">
        <v>1.2138</v>
      </c>
      <c r="Z17" s="224">
        <v>1.1879</v>
      </c>
      <c r="AA17" s="226">
        <v>1.2054</v>
      </c>
      <c r="AB17" s="226">
        <v>1.2229000000000001</v>
      </c>
      <c r="AC17" s="169">
        <v>1.1855</v>
      </c>
      <c r="AD17" s="169">
        <v>1.2030000000000001</v>
      </c>
      <c r="AE17" s="169">
        <v>1.2204999999999999</v>
      </c>
      <c r="AF17" s="164">
        <v>1.1831</v>
      </c>
      <c r="AG17" s="228">
        <v>1.2005999999999999</v>
      </c>
      <c r="AH17" s="228">
        <v>1.2181</v>
      </c>
      <c r="AI17" s="232">
        <v>1.1806000000000001</v>
      </c>
      <c r="AJ17" s="232">
        <v>1.1981999999999999</v>
      </c>
      <c r="AK17" s="261">
        <v>1.2157</v>
      </c>
    </row>
    <row r="18" spans="1:37">
      <c r="A18" s="156">
        <v>110</v>
      </c>
      <c r="B18" s="224">
        <v>1.1742999999999999</v>
      </c>
      <c r="C18" s="226">
        <v>1.1914</v>
      </c>
      <c r="D18" s="226">
        <v>1.2083999999999999</v>
      </c>
      <c r="E18" s="169">
        <v>1.1718999999999999</v>
      </c>
      <c r="F18" s="169">
        <v>1.1889000000000001</v>
      </c>
      <c r="G18" s="169">
        <v>1.206</v>
      </c>
      <c r="H18" s="164">
        <v>1.1695</v>
      </c>
      <c r="I18" s="228">
        <v>1.1866000000000001</v>
      </c>
      <c r="J18" s="228">
        <v>1.2036</v>
      </c>
      <c r="K18" s="232">
        <v>1.167</v>
      </c>
      <c r="L18" s="232">
        <v>1.1540999999999999</v>
      </c>
      <c r="M18" s="230">
        <v>1.2011000000000001</v>
      </c>
      <c r="N18" s="224">
        <v>1.1760999999999999</v>
      </c>
      <c r="O18" s="226">
        <v>1.1932</v>
      </c>
      <c r="P18" s="226">
        <v>1.2101999999999999</v>
      </c>
      <c r="Q18" s="169">
        <v>1.1738</v>
      </c>
      <c r="R18" s="169">
        <v>1.1908000000000001</v>
      </c>
      <c r="S18" s="169">
        <v>1.2079</v>
      </c>
      <c r="T18" s="164">
        <v>1.1713</v>
      </c>
      <c r="U18" s="228">
        <v>1.1883999999999999</v>
      </c>
      <c r="V18" s="228">
        <v>1.2054</v>
      </c>
      <c r="W18" s="232">
        <v>1.169</v>
      </c>
      <c r="X18" s="232">
        <v>1.1859999999999999</v>
      </c>
      <c r="Y18" s="230">
        <v>1.2031000000000001</v>
      </c>
      <c r="Z18" s="224">
        <v>1.1780999999999999</v>
      </c>
      <c r="AA18" s="226">
        <v>1.1910000000000001</v>
      </c>
      <c r="AB18" s="226">
        <v>1.2121999999999999</v>
      </c>
      <c r="AC18" s="169">
        <v>1.1756</v>
      </c>
      <c r="AD18" s="169">
        <v>1.1927000000000001</v>
      </c>
      <c r="AE18" s="169">
        <v>1.2097</v>
      </c>
      <c r="AF18" s="164">
        <v>1.1733</v>
      </c>
      <c r="AG18" s="228">
        <v>1.1902999999999999</v>
      </c>
      <c r="AH18" s="228">
        <v>1.2073</v>
      </c>
      <c r="AI18" s="232">
        <v>1.1708000000000001</v>
      </c>
      <c r="AJ18" s="232">
        <v>1.1878</v>
      </c>
      <c r="AK18" s="261">
        <v>1.2049000000000001</v>
      </c>
    </row>
    <row r="19" spans="1:37">
      <c r="A19" s="156">
        <v>120</v>
      </c>
      <c r="B19" s="224">
        <v>1.173</v>
      </c>
      <c r="C19" s="226">
        <v>1.1902999999999999</v>
      </c>
      <c r="D19" s="226">
        <v>1.2075</v>
      </c>
      <c r="E19" s="169">
        <v>1.1705000000000001</v>
      </c>
      <c r="F19" s="169">
        <v>1.1877</v>
      </c>
      <c r="G19" s="169">
        <v>1.2049000000000001</v>
      </c>
      <c r="H19" s="164">
        <v>1.1678999999999999</v>
      </c>
      <c r="I19" s="228">
        <v>1.1851</v>
      </c>
      <c r="J19" s="228">
        <v>1.2023999999999999</v>
      </c>
      <c r="K19" s="232">
        <v>1.1654</v>
      </c>
      <c r="L19" s="232">
        <v>1.1827000000000001</v>
      </c>
      <c r="M19" s="230">
        <v>1.1999</v>
      </c>
      <c r="N19" s="224">
        <v>1.1751</v>
      </c>
      <c r="O19" s="226">
        <v>1.1922999999999999</v>
      </c>
      <c r="P19" s="226">
        <v>1.2095</v>
      </c>
      <c r="Q19" s="169">
        <v>1.1725000000000001</v>
      </c>
      <c r="R19" s="169">
        <v>1.1897</v>
      </c>
      <c r="S19" s="169">
        <v>1.2070000000000001</v>
      </c>
      <c r="T19" s="164">
        <v>1.1698999999999999</v>
      </c>
      <c r="U19" s="228">
        <v>1.1872</v>
      </c>
      <c r="V19" s="228">
        <v>1.2043999999999999</v>
      </c>
      <c r="W19" s="232">
        <v>1.1674</v>
      </c>
      <c r="X19" s="232">
        <v>1.1846000000000001</v>
      </c>
      <c r="Y19" s="230">
        <v>1.2018</v>
      </c>
      <c r="Z19" s="224">
        <v>1.177</v>
      </c>
      <c r="AA19" s="226">
        <v>1.1941999999999999</v>
      </c>
      <c r="AB19" s="226">
        <v>1.2114</v>
      </c>
      <c r="AC19" s="169">
        <v>1.1745000000000001</v>
      </c>
      <c r="AD19" s="169">
        <v>1.1918</v>
      </c>
      <c r="AE19" s="169">
        <v>1.2090000000000001</v>
      </c>
      <c r="AF19" s="164">
        <v>1.1719999999999999</v>
      </c>
      <c r="AG19" s="228">
        <v>1.1892</v>
      </c>
      <c r="AH19" s="228">
        <v>1.2063999999999999</v>
      </c>
      <c r="AI19" s="232">
        <v>1.1694</v>
      </c>
      <c r="AJ19" s="232">
        <v>1.1866000000000001</v>
      </c>
      <c r="AK19" s="261">
        <v>1.2039</v>
      </c>
    </row>
    <row r="20" spans="1:37">
      <c r="A20" s="156">
        <v>130</v>
      </c>
      <c r="B20" s="224">
        <v>1.171</v>
      </c>
      <c r="C20" s="226">
        <v>1.1879999999999999</v>
      </c>
      <c r="D20" s="226">
        <v>1.2050000000000001</v>
      </c>
      <c r="E20" s="169">
        <v>1.1685000000000001</v>
      </c>
      <c r="F20" s="169">
        <v>1.1855</v>
      </c>
      <c r="G20" s="169">
        <v>1.2025999999999999</v>
      </c>
      <c r="H20" s="164">
        <v>1.1659999999999999</v>
      </c>
      <c r="I20" s="228">
        <v>1.1830000000000001</v>
      </c>
      <c r="J20" s="228">
        <v>1.2</v>
      </c>
      <c r="K20" s="232">
        <v>1.1634</v>
      </c>
      <c r="L20" s="232">
        <v>1.1803999999999999</v>
      </c>
      <c r="M20" s="230">
        <v>1.1974</v>
      </c>
      <c r="N20" s="224">
        <v>1.173</v>
      </c>
      <c r="O20" s="226">
        <v>1.19</v>
      </c>
      <c r="P20" s="226">
        <v>1.2070000000000001</v>
      </c>
      <c r="Q20" s="169">
        <v>1.1705000000000001</v>
      </c>
      <c r="R20" s="169">
        <v>1.1875</v>
      </c>
      <c r="S20" s="169">
        <v>1.2044999999999999</v>
      </c>
      <c r="T20" s="164">
        <v>1.1679999999999999</v>
      </c>
      <c r="U20" s="228">
        <v>1.1850000000000001</v>
      </c>
      <c r="V20" s="228">
        <v>1.202</v>
      </c>
      <c r="W20" s="232">
        <v>1.1654</v>
      </c>
      <c r="X20" s="232">
        <v>1.1823999999999999</v>
      </c>
      <c r="Y20" s="230">
        <v>1.1994</v>
      </c>
      <c r="Z20" s="224">
        <v>1.1751</v>
      </c>
      <c r="AA20" s="226">
        <v>1.1920999999999999</v>
      </c>
      <c r="AB20" s="226">
        <v>1.2091000000000001</v>
      </c>
      <c r="AC20" s="169">
        <v>1.1725000000000001</v>
      </c>
      <c r="AD20" s="169">
        <v>1.1895</v>
      </c>
      <c r="AE20" s="169">
        <v>1.2064999999999999</v>
      </c>
      <c r="AF20" s="164">
        <v>1.1698999999999999</v>
      </c>
      <c r="AG20" s="228">
        <v>1.1869000000000001</v>
      </c>
      <c r="AH20" s="228">
        <v>1.2039</v>
      </c>
      <c r="AI20" s="232">
        <v>1.16675</v>
      </c>
      <c r="AJ20" s="232">
        <v>1.12845</v>
      </c>
      <c r="AK20" s="261">
        <v>1.2015</v>
      </c>
    </row>
    <row r="21" spans="1:37">
      <c r="A21" s="156">
        <v>140</v>
      </c>
      <c r="B21" s="224">
        <v>1.1698</v>
      </c>
      <c r="C21" s="226">
        <v>1.1870000000000001</v>
      </c>
      <c r="D21" s="226">
        <v>1.2040999999999999</v>
      </c>
      <c r="E21" s="169">
        <v>1.1672</v>
      </c>
      <c r="F21" s="169">
        <v>1.1842999999999999</v>
      </c>
      <c r="G21" s="169">
        <v>1.2015</v>
      </c>
      <c r="H21" s="164">
        <v>1.1645000000000001</v>
      </c>
      <c r="I21" s="228">
        <v>1.1816</v>
      </c>
      <c r="J21" s="228">
        <v>1.1988000000000001</v>
      </c>
      <c r="K21" s="232">
        <v>1.1518999999999999</v>
      </c>
      <c r="L21" s="232">
        <v>1.179</v>
      </c>
      <c r="M21" s="230">
        <v>1.1960999999999999</v>
      </c>
      <c r="N21" s="224">
        <v>1.1719999999999999</v>
      </c>
      <c r="O21" s="226">
        <v>1.1891</v>
      </c>
      <c r="P21" s="226">
        <v>1.2062999999999999</v>
      </c>
      <c r="Q21" s="169">
        <v>1.1693</v>
      </c>
      <c r="R21" s="169">
        <v>1.1865000000000001</v>
      </c>
      <c r="S21" s="169">
        <v>1.2036</v>
      </c>
      <c r="T21" s="164">
        <v>1.1666000000000001</v>
      </c>
      <c r="U21" s="228">
        <v>1.1838</v>
      </c>
      <c r="V21" s="228">
        <v>1.2009000000000001</v>
      </c>
      <c r="W21" s="232">
        <v>1.1638999999999999</v>
      </c>
      <c r="X21" s="232">
        <v>1.1811</v>
      </c>
      <c r="Y21" s="230">
        <v>1.1982999999999999</v>
      </c>
      <c r="Z21" s="224">
        <v>1.1740999999999999</v>
      </c>
      <c r="AA21" s="226">
        <v>1.1913</v>
      </c>
      <c r="AB21" s="226">
        <v>1.2083999999999999</v>
      </c>
      <c r="AC21" s="169">
        <v>1.1714</v>
      </c>
      <c r="AD21" s="169">
        <v>1.1886000000000001</v>
      </c>
      <c r="AE21" s="169">
        <v>1.2057</v>
      </c>
      <c r="AF21" s="164">
        <v>1.1688000000000001</v>
      </c>
      <c r="AG21" s="228">
        <v>1.1859</v>
      </c>
      <c r="AH21" s="228">
        <v>1.2031000000000001</v>
      </c>
      <c r="AI21" s="232">
        <v>1.1660999999999999</v>
      </c>
      <c r="AJ21" s="232">
        <v>1.1832</v>
      </c>
      <c r="AK21" s="261">
        <v>1.2003999999999999</v>
      </c>
    </row>
    <row r="22" spans="1:37">
      <c r="A22" s="156">
        <v>150</v>
      </c>
      <c r="B22" s="224">
        <v>1.1682999999999999</v>
      </c>
      <c r="C22" s="226">
        <v>1.1853</v>
      </c>
      <c r="D22" s="226">
        <v>1.2022999999999999</v>
      </c>
      <c r="E22" s="169">
        <v>1.1657</v>
      </c>
      <c r="F22" s="169">
        <v>1.1826000000000001</v>
      </c>
      <c r="G22" s="169">
        <v>1.1996</v>
      </c>
      <c r="H22" s="164">
        <v>1.163</v>
      </c>
      <c r="I22" s="228">
        <v>1.18</v>
      </c>
      <c r="J22" s="228">
        <v>1.1969000000000001</v>
      </c>
      <c r="K22" s="232">
        <v>1.1603000000000001</v>
      </c>
      <c r="L22" s="232">
        <v>1.1773</v>
      </c>
      <c r="M22" s="230">
        <v>1.1942999999999999</v>
      </c>
      <c r="N22" s="224">
        <v>1.1705000000000001</v>
      </c>
      <c r="O22" s="226">
        <v>1.1874</v>
      </c>
      <c r="P22" s="226">
        <v>1.2043999999999999</v>
      </c>
      <c r="Q22" s="169">
        <v>1.1677999999999999</v>
      </c>
      <c r="R22" s="169">
        <v>1.1548</v>
      </c>
      <c r="S22" s="169">
        <v>1.2018</v>
      </c>
      <c r="T22" s="164">
        <v>1.1651</v>
      </c>
      <c r="U22" s="228">
        <v>1.1820999999999999</v>
      </c>
      <c r="V22" s="228">
        <v>1.1991000000000001</v>
      </c>
      <c r="W22" s="232">
        <v>1.1624000000000001</v>
      </c>
      <c r="X22" s="232">
        <v>1.1794</v>
      </c>
      <c r="Y22" s="230">
        <v>1.1963999999999999</v>
      </c>
      <c r="Z22" s="224">
        <v>1.1726000000000001</v>
      </c>
      <c r="AA22" s="226">
        <v>1.1896</v>
      </c>
      <c r="AB22" s="226">
        <v>1.2065999999999999</v>
      </c>
      <c r="AC22" s="169">
        <v>1.1698999999999999</v>
      </c>
      <c r="AD22" s="169">
        <v>1.1869000000000001</v>
      </c>
      <c r="AE22" s="169">
        <v>1.2039</v>
      </c>
      <c r="AF22" s="164">
        <v>1.1673</v>
      </c>
      <c r="AG22" s="228">
        <v>1.1841999999999999</v>
      </c>
      <c r="AH22" s="228">
        <v>1.2012</v>
      </c>
      <c r="AI22" s="232">
        <v>1.1646000000000001</v>
      </c>
      <c r="AJ22" s="232">
        <v>1.1816</v>
      </c>
      <c r="AK22" s="261">
        <v>1.1984999999999999</v>
      </c>
    </row>
    <row r="23" spans="1:37">
      <c r="A23" s="156">
        <v>160</v>
      </c>
      <c r="B23" s="224">
        <v>1.1673</v>
      </c>
      <c r="C23" s="226">
        <v>1.1843999999999999</v>
      </c>
      <c r="D23" s="226">
        <v>1.2015</v>
      </c>
      <c r="E23" s="169">
        <v>1.1644000000000001</v>
      </c>
      <c r="F23" s="169">
        <v>1.1815</v>
      </c>
      <c r="G23" s="169">
        <v>1.1986000000000001</v>
      </c>
      <c r="H23" s="164">
        <v>1.1616</v>
      </c>
      <c r="I23" s="228">
        <v>1.1787000000000001</v>
      </c>
      <c r="J23" s="228">
        <v>1.1958</v>
      </c>
      <c r="K23" s="232">
        <v>1.1588000000000001</v>
      </c>
      <c r="L23" s="232">
        <v>1.1758999999999999</v>
      </c>
      <c r="M23" s="230">
        <v>1.1930000000000001</v>
      </c>
      <c r="N23" s="224">
        <v>1.1695</v>
      </c>
      <c r="O23" s="226">
        <v>1.1866000000000001</v>
      </c>
      <c r="P23" s="226">
        <v>1.2037</v>
      </c>
      <c r="Q23" s="169">
        <v>1.1667000000000001</v>
      </c>
      <c r="R23" s="169">
        <v>1.1283799999999999</v>
      </c>
      <c r="S23" s="169">
        <v>1.2010000000000001</v>
      </c>
      <c r="T23" s="164">
        <v>1.1637999999999999</v>
      </c>
      <c r="U23" s="228">
        <v>1.181</v>
      </c>
      <c r="V23" s="228">
        <v>1.1980999999999999</v>
      </c>
      <c r="W23" s="232">
        <v>1.1611</v>
      </c>
      <c r="X23" s="232">
        <v>1.1781999999999999</v>
      </c>
      <c r="Y23" s="230">
        <v>1.1953</v>
      </c>
      <c r="Z23" s="224">
        <v>1.1718</v>
      </c>
      <c r="AA23" s="226">
        <v>1.1889000000000001</v>
      </c>
      <c r="AB23" s="226">
        <v>1.206</v>
      </c>
      <c r="AC23" s="169">
        <v>1.169</v>
      </c>
      <c r="AD23" s="169">
        <v>1.1860999999999999</v>
      </c>
      <c r="AE23" s="169">
        <v>1.2032</v>
      </c>
      <c r="AF23" s="164">
        <v>1.1661999999999999</v>
      </c>
      <c r="AG23" s="228">
        <v>1.1833</v>
      </c>
      <c r="AH23" s="228">
        <v>1.2003999999999999</v>
      </c>
      <c r="AI23" s="232">
        <v>1.1633</v>
      </c>
      <c r="AJ23" s="232">
        <v>1.1504000000000001</v>
      </c>
      <c r="AK23" s="261">
        <v>1.1975</v>
      </c>
    </row>
    <row r="24" spans="1:37">
      <c r="A24" s="156">
        <v>170</v>
      </c>
      <c r="B24" s="224">
        <v>1.1664000000000001</v>
      </c>
      <c r="C24" s="226">
        <v>1.1834</v>
      </c>
      <c r="D24" s="226">
        <v>1.2003999999999999</v>
      </c>
      <c r="E24" s="169">
        <v>1.1635</v>
      </c>
      <c r="F24" s="169">
        <v>1.1805000000000001</v>
      </c>
      <c r="G24" s="169">
        <v>1.1975</v>
      </c>
      <c r="H24" s="164">
        <v>1.1607000000000001</v>
      </c>
      <c r="I24" s="228">
        <v>1.1777</v>
      </c>
      <c r="J24" s="228">
        <v>1.1948000000000001</v>
      </c>
      <c r="K24" s="232">
        <v>1.1579999999999999</v>
      </c>
      <c r="L24" s="232">
        <v>1.175</v>
      </c>
      <c r="M24" s="230">
        <v>1.1919999999999999</v>
      </c>
      <c r="N24" s="224">
        <v>1.1687000000000001</v>
      </c>
      <c r="O24" s="226">
        <v>1.1857</v>
      </c>
      <c r="P24" s="226">
        <v>1.2027000000000001</v>
      </c>
      <c r="Q24" s="169">
        <v>1.1658999999999999</v>
      </c>
      <c r="R24" s="169">
        <v>1.1829000000000001</v>
      </c>
      <c r="S24" s="169">
        <v>1.1999</v>
      </c>
      <c r="T24" s="164">
        <v>1.163</v>
      </c>
      <c r="U24" s="228">
        <v>1.18</v>
      </c>
      <c r="V24" s="228">
        <v>1.1970000000000001</v>
      </c>
      <c r="W24" s="232">
        <v>1.1601999999999999</v>
      </c>
      <c r="X24" s="232">
        <v>1.1772</v>
      </c>
      <c r="Y24" s="230">
        <v>1.1941999999999999</v>
      </c>
      <c r="Z24" s="224">
        <v>1.1709000000000001</v>
      </c>
      <c r="AA24" s="226">
        <v>1.1879</v>
      </c>
      <c r="AB24" s="226">
        <v>1.2049000000000001</v>
      </c>
      <c r="AC24" s="169">
        <v>1.1680999999999999</v>
      </c>
      <c r="AD24" s="169">
        <v>1.1851</v>
      </c>
      <c r="AE24" s="169">
        <v>1.2020999999999999</v>
      </c>
      <c r="AF24" s="164">
        <v>1.1653</v>
      </c>
      <c r="AG24" s="228">
        <v>1.1822999999999999</v>
      </c>
      <c r="AH24" s="228">
        <v>1.1994</v>
      </c>
      <c r="AI24" s="232">
        <v>1.1624000000000001</v>
      </c>
      <c r="AJ24" s="232">
        <v>1.1795</v>
      </c>
      <c r="AK24" s="261">
        <v>1.1964999999999999</v>
      </c>
    </row>
    <row r="25" spans="1:37">
      <c r="A25" s="156">
        <v>180</v>
      </c>
      <c r="B25" s="224">
        <v>1.1657999999999999</v>
      </c>
      <c r="C25" s="226">
        <v>1.1827000000000001</v>
      </c>
      <c r="D25" s="226">
        <v>1.1996</v>
      </c>
      <c r="E25" s="169">
        <v>1.163</v>
      </c>
      <c r="F25" s="169">
        <v>1.1798999999999999</v>
      </c>
      <c r="G25" s="169">
        <v>1.1969000000000001</v>
      </c>
      <c r="H25" s="164">
        <v>1.1500999999999999</v>
      </c>
      <c r="I25" s="228">
        <v>1.177</v>
      </c>
      <c r="J25" s="228">
        <v>1.194</v>
      </c>
      <c r="K25" s="232">
        <v>1.1573</v>
      </c>
      <c r="L25" s="232">
        <v>1.1741999999999999</v>
      </c>
      <c r="M25" s="230">
        <v>1.1912</v>
      </c>
      <c r="N25" s="224">
        <v>1.1679999999999999</v>
      </c>
      <c r="O25" s="226">
        <v>1.1849000000000001</v>
      </c>
      <c r="P25" s="226">
        <v>1.2019</v>
      </c>
      <c r="Q25" s="169">
        <v>1.1652</v>
      </c>
      <c r="R25" s="169">
        <v>1.1821999999999999</v>
      </c>
      <c r="S25" s="169">
        <v>1.1991000000000001</v>
      </c>
      <c r="T25" s="164">
        <v>1.1624000000000001</v>
      </c>
      <c r="U25" s="228">
        <v>1.1794</v>
      </c>
      <c r="V25" s="228">
        <v>1.1962999999999999</v>
      </c>
      <c r="W25" s="232">
        <v>1.1596</v>
      </c>
      <c r="X25" s="232">
        <v>1.1765000000000001</v>
      </c>
      <c r="Y25" s="230">
        <v>1.1934</v>
      </c>
      <c r="Z25" s="224">
        <v>1.1702999999999999</v>
      </c>
      <c r="AA25" s="226">
        <v>1.1872</v>
      </c>
      <c r="AB25" s="226">
        <v>1.2040999999999999</v>
      </c>
      <c r="AC25" s="169">
        <v>1.1675</v>
      </c>
      <c r="AD25" s="169">
        <v>1.1843999999999999</v>
      </c>
      <c r="AE25" s="169">
        <v>1.2013</v>
      </c>
      <c r="AF25" s="164">
        <v>1.1647000000000001</v>
      </c>
      <c r="AG25" s="228">
        <v>1.1816</v>
      </c>
      <c r="AH25" s="228">
        <v>1.1986000000000001</v>
      </c>
      <c r="AI25" s="232">
        <v>1.1618999999999999</v>
      </c>
      <c r="AJ25" s="232">
        <v>1.1788000000000001</v>
      </c>
      <c r="AK25" s="261">
        <v>1.1958</v>
      </c>
    </row>
    <row r="26" spans="1:37">
      <c r="A26" s="156">
        <v>190</v>
      </c>
      <c r="B26" s="224">
        <v>1.1629</v>
      </c>
      <c r="C26" s="226">
        <v>1.1807000000000001</v>
      </c>
      <c r="D26" s="226">
        <v>1.1984999999999999</v>
      </c>
      <c r="E26" s="169">
        <v>1.1595</v>
      </c>
      <c r="F26" s="169">
        <v>1.1776</v>
      </c>
      <c r="G26" s="169">
        <v>1.1954</v>
      </c>
      <c r="H26" s="164">
        <v>1.1568000000000001</v>
      </c>
      <c r="I26" s="228">
        <v>1.1746000000000001</v>
      </c>
      <c r="J26" s="228">
        <v>1.1923999999999999</v>
      </c>
      <c r="K26" s="232">
        <v>1.1536999999999999</v>
      </c>
      <c r="L26" s="232">
        <v>1.1715</v>
      </c>
      <c r="M26" s="230">
        <v>1.1893</v>
      </c>
      <c r="N26" s="224">
        <v>1.1654</v>
      </c>
      <c r="O26" s="226">
        <v>1.1832</v>
      </c>
      <c r="P26" s="226">
        <v>1.2010000000000001</v>
      </c>
      <c r="Q26" s="169">
        <v>1.1623000000000001</v>
      </c>
      <c r="R26" s="169">
        <v>1.1800999999999999</v>
      </c>
      <c r="S26" s="169">
        <v>1.1979</v>
      </c>
      <c r="T26" s="164">
        <v>1.1592</v>
      </c>
      <c r="U26" s="228">
        <v>1.177</v>
      </c>
      <c r="V26" s="228">
        <v>1.1948000000000001</v>
      </c>
      <c r="W26" s="232">
        <v>1.1561999999999999</v>
      </c>
      <c r="X26" s="232">
        <v>1.1739999999999999</v>
      </c>
      <c r="Y26" s="230">
        <v>1.1918</v>
      </c>
      <c r="Z26" s="224">
        <v>1.1679999999999999</v>
      </c>
      <c r="AA26" s="226">
        <v>1.1858</v>
      </c>
      <c r="AB26" s="226">
        <v>1.2036</v>
      </c>
      <c r="AC26" s="169">
        <v>1.1649</v>
      </c>
      <c r="AD26" s="169">
        <v>1.1827000000000001</v>
      </c>
      <c r="AE26" s="169">
        <v>1.2004999999999999</v>
      </c>
      <c r="AF26" s="164">
        <v>1.1617999999999999</v>
      </c>
      <c r="AG26" s="228">
        <v>1.1796</v>
      </c>
      <c r="AH26" s="228">
        <v>1.1974</v>
      </c>
      <c r="AI26" s="232">
        <v>1.1587000000000001</v>
      </c>
      <c r="AJ26" s="232">
        <v>1.1765000000000001</v>
      </c>
      <c r="AK26" s="261">
        <v>1.1942999999999999</v>
      </c>
    </row>
    <row r="27" spans="1:37">
      <c r="A27" s="156">
        <v>200</v>
      </c>
      <c r="B27" s="224">
        <v>1.1627000000000001</v>
      </c>
      <c r="C27" s="226">
        <v>1.1803999999999999</v>
      </c>
      <c r="D27" s="226">
        <v>1.1981999999999999</v>
      </c>
      <c r="E27" s="169">
        <v>1.1596</v>
      </c>
      <c r="F27" s="169">
        <v>1.1773</v>
      </c>
      <c r="G27" s="169">
        <v>1.1951000000000001</v>
      </c>
      <c r="H27" s="164">
        <v>1.1565000000000001</v>
      </c>
      <c r="I27" s="228">
        <v>1.1741999999999999</v>
      </c>
      <c r="J27" s="228">
        <v>1.1919999999999999</v>
      </c>
      <c r="K27" s="232">
        <v>1.1534</v>
      </c>
      <c r="L27" s="232">
        <v>1.1711</v>
      </c>
      <c r="M27" s="230">
        <v>1.1889000000000001</v>
      </c>
      <c r="N27" s="224">
        <v>1.1651</v>
      </c>
      <c r="O27" s="226">
        <v>1.1829000000000001</v>
      </c>
      <c r="P27" s="226">
        <v>1.2005999999999999</v>
      </c>
      <c r="Q27" s="169">
        <v>1.1620999999999999</v>
      </c>
      <c r="R27" s="169">
        <v>1.1798999999999999</v>
      </c>
      <c r="S27" s="169">
        <v>1.1976</v>
      </c>
      <c r="T27" s="164">
        <v>1.159</v>
      </c>
      <c r="U27" s="228">
        <v>1.1768000000000001</v>
      </c>
      <c r="V27" s="228">
        <v>1.1944999999999999</v>
      </c>
      <c r="W27" s="232">
        <v>1.1558999999999999</v>
      </c>
      <c r="X27" s="232">
        <v>1.1737</v>
      </c>
      <c r="Y27" s="230">
        <v>1.1914</v>
      </c>
      <c r="Z27" s="224">
        <v>1.1677</v>
      </c>
      <c r="AA27" s="226">
        <v>1.1854</v>
      </c>
      <c r="AB27" s="226">
        <v>1.2032</v>
      </c>
      <c r="AC27" s="169">
        <v>1.1646000000000001</v>
      </c>
      <c r="AD27" s="169">
        <v>1.1822999999999999</v>
      </c>
      <c r="AE27" s="169">
        <v>1.2000999999999999</v>
      </c>
      <c r="AF27" s="164">
        <v>1.1516</v>
      </c>
      <c r="AG27" s="228">
        <v>1.1793</v>
      </c>
      <c r="AH27" s="228">
        <v>1.1971000000000001</v>
      </c>
      <c r="AI27" s="232">
        <v>1.1585000000000001</v>
      </c>
      <c r="AJ27" s="232">
        <v>1.1761999999999999</v>
      </c>
      <c r="AK27" s="261">
        <v>1.194</v>
      </c>
    </row>
    <row r="28" spans="1:37">
      <c r="A28" s="156">
        <v>210</v>
      </c>
      <c r="B28" s="224">
        <v>1.1615</v>
      </c>
      <c r="C28" s="226">
        <v>1.1794</v>
      </c>
      <c r="D28" s="226">
        <v>1.1972</v>
      </c>
      <c r="E28" s="169">
        <v>1.1583000000000001</v>
      </c>
      <c r="F28" s="169">
        <v>1.1760999999999999</v>
      </c>
      <c r="G28" s="169">
        <v>1.194</v>
      </c>
      <c r="H28" s="164">
        <v>1.1551</v>
      </c>
      <c r="I28" s="228">
        <v>1.1729000000000001</v>
      </c>
      <c r="J28" s="228">
        <v>1.1908000000000001</v>
      </c>
      <c r="K28" s="232">
        <v>1.1518999999999999</v>
      </c>
      <c r="L28" s="232">
        <v>1.1697</v>
      </c>
      <c r="M28" s="230">
        <v>1.1876</v>
      </c>
      <c r="N28" s="224">
        <v>1.1641999999999999</v>
      </c>
      <c r="O28" s="226">
        <v>1.1819999999999999</v>
      </c>
      <c r="P28" s="226">
        <v>1.1999</v>
      </c>
      <c r="Q28" s="169">
        <v>1.161</v>
      </c>
      <c r="R28" s="169">
        <v>1.1788000000000001</v>
      </c>
      <c r="S28" s="169">
        <v>1.1967000000000001</v>
      </c>
      <c r="T28" s="164">
        <v>1.1577</v>
      </c>
      <c r="U28" s="228">
        <v>1.1756</v>
      </c>
      <c r="V28" s="228">
        <v>1.1935</v>
      </c>
      <c r="W28" s="232">
        <v>1.1545000000000001</v>
      </c>
      <c r="X28" s="232">
        <v>1.1724000000000001</v>
      </c>
      <c r="Y28" s="230">
        <v>1.1902999999999999</v>
      </c>
      <c r="Z28" s="224">
        <v>1.1668000000000001</v>
      </c>
      <c r="AA28" s="226">
        <v>1.1847000000000001</v>
      </c>
      <c r="AB28" s="226">
        <v>1.2025999999999999</v>
      </c>
      <c r="AC28" s="169">
        <v>1.1636</v>
      </c>
      <c r="AD28" s="169">
        <v>1.1815</v>
      </c>
      <c r="AE28" s="169">
        <v>1.1994</v>
      </c>
      <c r="AF28" s="164">
        <v>1.1604000000000001</v>
      </c>
      <c r="AG28" s="228">
        <v>1.1782999999999999</v>
      </c>
      <c r="AH28" s="228">
        <v>1.1960999999999999</v>
      </c>
      <c r="AI28" s="232">
        <v>1.1572</v>
      </c>
      <c r="AJ28" s="232">
        <v>1.1751</v>
      </c>
      <c r="AK28" s="261">
        <v>1.1929000000000001</v>
      </c>
    </row>
    <row r="29" spans="1:37">
      <c r="A29" s="156">
        <v>220</v>
      </c>
      <c r="B29" s="224">
        <v>1.1513</v>
      </c>
      <c r="C29" s="226">
        <v>1.1791</v>
      </c>
      <c r="D29" s="226">
        <v>1.1969000000000001</v>
      </c>
      <c r="E29" s="169">
        <v>1.1580999999999999</v>
      </c>
      <c r="F29" s="169">
        <v>1.1758999999999999</v>
      </c>
      <c r="G29" s="169">
        <v>1.1937</v>
      </c>
      <c r="H29" s="164">
        <v>1.1549</v>
      </c>
      <c r="I29" s="228">
        <v>1.1727000000000001</v>
      </c>
      <c r="J29" s="228">
        <v>1.1904999999999999</v>
      </c>
      <c r="K29" s="232">
        <v>1.1516</v>
      </c>
      <c r="L29" s="232">
        <v>1.1695</v>
      </c>
      <c r="M29" s="230">
        <v>1.1873</v>
      </c>
      <c r="N29" s="224">
        <v>1.1638900000000001</v>
      </c>
      <c r="O29" s="226">
        <v>1.1818</v>
      </c>
      <c r="P29" s="226">
        <v>1.1996</v>
      </c>
      <c r="Q29" s="169">
        <v>1.1607000000000001</v>
      </c>
      <c r="R29" s="169">
        <v>1.1786000000000001</v>
      </c>
      <c r="S29" s="169">
        <v>1.1963999999999999</v>
      </c>
      <c r="T29" s="164">
        <v>1.1575</v>
      </c>
      <c r="U29" s="228">
        <v>1.1754</v>
      </c>
      <c r="V29" s="228">
        <v>1.1932</v>
      </c>
      <c r="W29" s="232">
        <v>1.1543000000000001</v>
      </c>
      <c r="X29" s="232">
        <v>1.1720999999999999</v>
      </c>
      <c r="Y29" s="230">
        <v>1.19</v>
      </c>
      <c r="Z29" s="224">
        <v>1.1666000000000001</v>
      </c>
      <c r="AA29" s="226">
        <v>1.1843999999999999</v>
      </c>
      <c r="AB29" s="226">
        <v>1.2022999999999999</v>
      </c>
      <c r="AC29" s="169">
        <v>1.1634</v>
      </c>
      <c r="AD29" s="169">
        <v>1.1812</v>
      </c>
      <c r="AE29" s="169">
        <v>1.1991000000000001</v>
      </c>
      <c r="AF29" s="164">
        <v>1.1601999999999999</v>
      </c>
      <c r="AG29" s="228">
        <v>1.1779999999999999</v>
      </c>
      <c r="AH29" s="228">
        <v>1.1959</v>
      </c>
      <c r="AI29" s="232">
        <v>1.157</v>
      </c>
      <c r="AJ29" s="232">
        <v>1.1748000000000001</v>
      </c>
      <c r="AK29" s="261">
        <v>1.1926000000000001</v>
      </c>
    </row>
    <row r="30" spans="1:37">
      <c r="A30" s="156">
        <v>230</v>
      </c>
      <c r="B30" s="224">
        <v>1.1503000000000001</v>
      </c>
      <c r="C30" s="226">
        <v>1.1779999999999999</v>
      </c>
      <c r="D30" s="226">
        <v>1.1957</v>
      </c>
      <c r="E30" s="169">
        <v>1.1571</v>
      </c>
      <c r="F30" s="169">
        <v>1.1748000000000001</v>
      </c>
      <c r="G30" s="169">
        <v>1.1924999999999999</v>
      </c>
      <c r="H30" s="164">
        <v>1.1538999999999999</v>
      </c>
      <c r="I30" s="228">
        <v>1.1716</v>
      </c>
      <c r="J30" s="228">
        <v>1.1893</v>
      </c>
      <c r="K30" s="232">
        <v>1.1507000000000001</v>
      </c>
      <c r="L30" s="232">
        <v>1.1684000000000001</v>
      </c>
      <c r="M30" s="230">
        <v>1.1860999999999999</v>
      </c>
      <c r="N30" s="224">
        <v>1.163</v>
      </c>
      <c r="O30" s="226">
        <v>1.1807000000000001</v>
      </c>
      <c r="P30" s="226">
        <v>1.1983999999999999</v>
      </c>
      <c r="Q30" s="169">
        <v>1.1597999999999999</v>
      </c>
      <c r="R30" s="169">
        <v>1.1775</v>
      </c>
      <c r="S30" s="169">
        <v>1.1952</v>
      </c>
      <c r="T30" s="164">
        <v>1.1566000000000001</v>
      </c>
      <c r="U30" s="228">
        <v>1.1742999999999999</v>
      </c>
      <c r="V30" s="228">
        <v>1.1919</v>
      </c>
      <c r="W30" s="232">
        <v>1.1534</v>
      </c>
      <c r="X30" s="232">
        <v>1.1471</v>
      </c>
      <c r="Y30" s="230">
        <v>1.1887000000000001</v>
      </c>
      <c r="Z30" s="224">
        <v>1.1657</v>
      </c>
      <c r="AA30" s="226">
        <v>1.1833</v>
      </c>
      <c r="AB30" s="226">
        <v>1.2010000000000001</v>
      </c>
      <c r="AC30" s="169">
        <v>1.1624000000000001</v>
      </c>
      <c r="AD30" s="169">
        <v>1.1800999999999999</v>
      </c>
      <c r="AE30" s="169">
        <v>1.1978</v>
      </c>
      <c r="AF30" s="164">
        <v>1.1592</v>
      </c>
      <c r="AG30" s="228">
        <v>1.1769000000000001</v>
      </c>
      <c r="AH30" s="228">
        <v>1.1946000000000001</v>
      </c>
      <c r="AI30" s="232">
        <v>1.1559999999999999</v>
      </c>
      <c r="AJ30" s="232">
        <v>1.1737</v>
      </c>
      <c r="AK30" s="261">
        <v>1.1914</v>
      </c>
    </row>
    <row r="31" spans="1:37">
      <c r="A31" s="156">
        <v>240</v>
      </c>
      <c r="B31" s="224">
        <v>1.1595</v>
      </c>
      <c r="C31" s="226">
        <v>1.177</v>
      </c>
      <c r="D31" s="226">
        <v>1.1946000000000001</v>
      </c>
      <c r="E31" s="169">
        <v>1.1561999999999999</v>
      </c>
      <c r="F31" s="169">
        <v>1.1738</v>
      </c>
      <c r="G31" s="169">
        <v>1.1914</v>
      </c>
      <c r="H31" s="164">
        <v>1.153</v>
      </c>
      <c r="I31" s="228">
        <v>1.1706000000000001</v>
      </c>
      <c r="J31" s="228">
        <v>1.1881999999999999</v>
      </c>
      <c r="K31" s="232">
        <v>1.1497999999999999</v>
      </c>
      <c r="L31" s="232">
        <v>1.1674</v>
      </c>
      <c r="M31" s="230">
        <v>1.1850000000000001</v>
      </c>
      <c r="N31" s="224">
        <v>1.1620999999999999</v>
      </c>
      <c r="O31" s="226">
        <v>1.1797</v>
      </c>
      <c r="P31" s="226">
        <v>1.1973</v>
      </c>
      <c r="Q31" s="169">
        <v>1.1589</v>
      </c>
      <c r="R31" s="169">
        <v>1.1765000000000001</v>
      </c>
      <c r="S31" s="169">
        <v>1.194</v>
      </c>
      <c r="T31" s="164">
        <v>1.1556999999999999</v>
      </c>
      <c r="U31" s="228">
        <v>1.1733</v>
      </c>
      <c r="V31" s="228">
        <v>1.1908000000000001</v>
      </c>
      <c r="W31" s="232">
        <v>1.1525000000000001</v>
      </c>
      <c r="X31" s="232">
        <v>1.1700999999999999</v>
      </c>
      <c r="Y31" s="230">
        <v>1.1876</v>
      </c>
      <c r="Z31" s="224">
        <v>1.1648000000000001</v>
      </c>
      <c r="AA31" s="226">
        <v>1.1823999999999999</v>
      </c>
      <c r="AB31" s="226">
        <v>1.1999</v>
      </c>
      <c r="AC31" s="169">
        <v>1.1616</v>
      </c>
      <c r="AD31" s="169">
        <v>1.1792</v>
      </c>
      <c r="AE31" s="169">
        <v>1.1968000000000001</v>
      </c>
      <c r="AF31" s="164">
        <v>1.1584000000000001</v>
      </c>
      <c r="AG31" s="228">
        <v>1.1758999999999999</v>
      </c>
      <c r="AH31" s="228">
        <v>1.1935</v>
      </c>
      <c r="AI31" s="232">
        <v>1.1552</v>
      </c>
      <c r="AJ31" s="232">
        <v>1.1727000000000001</v>
      </c>
      <c r="AK31" s="166">
        <v>1.1902999999999999</v>
      </c>
    </row>
    <row r="32" spans="1:37">
      <c r="A32" s="156">
        <v>250</v>
      </c>
      <c r="B32" s="224">
        <v>1.1583000000000001</v>
      </c>
      <c r="C32" s="226">
        <v>1.1757</v>
      </c>
      <c r="D32" s="226">
        <v>1.1931</v>
      </c>
      <c r="E32" s="169">
        <v>1.1551</v>
      </c>
      <c r="F32" s="169">
        <v>1.1725000000000001</v>
      </c>
      <c r="G32" s="169">
        <v>1.1899</v>
      </c>
      <c r="H32" s="164">
        <v>1.1518999999999999</v>
      </c>
      <c r="I32" s="228">
        <v>1.1693</v>
      </c>
      <c r="J32" s="228">
        <v>1.1866000000000001</v>
      </c>
      <c r="K32" s="232">
        <v>1.1486000000000001</v>
      </c>
      <c r="L32" s="232">
        <v>1.1659999999999999</v>
      </c>
      <c r="M32" s="230">
        <v>1.1834</v>
      </c>
      <c r="N32" s="224">
        <v>1.161</v>
      </c>
      <c r="O32" s="226">
        <v>1.1782999999999999</v>
      </c>
      <c r="P32" s="226">
        <v>1.1957</v>
      </c>
      <c r="Q32" s="169">
        <v>1.1577</v>
      </c>
      <c r="R32" s="169">
        <v>1.1751</v>
      </c>
      <c r="S32" s="169">
        <v>1.1924999999999999</v>
      </c>
      <c r="T32" s="164">
        <v>1.1545000000000001</v>
      </c>
      <c r="U32" s="228">
        <v>1.1718999999999999</v>
      </c>
      <c r="V32" s="228">
        <v>1.1893</v>
      </c>
      <c r="W32" s="232">
        <v>1.1513</v>
      </c>
      <c r="X32" s="232">
        <v>1.1687000000000001</v>
      </c>
      <c r="Y32" s="230">
        <v>1.1860999999999999</v>
      </c>
      <c r="Z32" s="224">
        <v>1.1636</v>
      </c>
      <c r="AA32" s="226">
        <v>1.181</v>
      </c>
      <c r="AB32" s="226">
        <v>1.1983999999999999</v>
      </c>
      <c r="AC32" s="169">
        <v>1.1604000000000001</v>
      </c>
      <c r="AD32" s="169">
        <v>1.1778</v>
      </c>
      <c r="AE32" s="169">
        <v>1.1952</v>
      </c>
      <c r="AF32" s="164">
        <v>1.1572</v>
      </c>
      <c r="AG32" s="228">
        <v>0.17460000000000001</v>
      </c>
      <c r="AH32" s="228">
        <v>1.1919999999999999</v>
      </c>
      <c r="AI32" s="232">
        <v>1.1539999999999999</v>
      </c>
      <c r="AJ32" s="232">
        <v>1.1714</v>
      </c>
      <c r="AK32" s="166">
        <v>1.1888000000000001</v>
      </c>
    </row>
    <row r="33" spans="1:37">
      <c r="A33" s="156">
        <v>260</v>
      </c>
      <c r="B33" s="224">
        <v>1.1572</v>
      </c>
      <c r="C33" s="226">
        <v>1.1744000000000001</v>
      </c>
      <c r="D33" s="226">
        <v>1.1917</v>
      </c>
      <c r="E33" s="169">
        <v>1.1539999999999999</v>
      </c>
      <c r="F33" s="169">
        <v>1.1412</v>
      </c>
      <c r="G33" s="169">
        <v>1.1884999999999999</v>
      </c>
      <c r="H33" s="164">
        <v>1.1508</v>
      </c>
      <c r="I33" s="228">
        <v>1.1679999999999999</v>
      </c>
      <c r="J33" s="228">
        <v>1.1853</v>
      </c>
      <c r="K33" s="232">
        <v>1.1476</v>
      </c>
      <c r="L33" s="232">
        <v>1.1648000000000001</v>
      </c>
      <c r="M33" s="230">
        <v>1.1820999999999999</v>
      </c>
      <c r="N33" s="224">
        <v>1.1598999999999999</v>
      </c>
      <c r="O33" s="226">
        <v>1.1771</v>
      </c>
      <c r="P33" s="226">
        <v>1.1943999999999999</v>
      </c>
      <c r="Q33" s="169">
        <v>1.1567000000000001</v>
      </c>
      <c r="R33" s="169">
        <v>1.1738999999999999</v>
      </c>
      <c r="S33" s="169">
        <v>1.1911</v>
      </c>
      <c r="T33" s="164">
        <v>1.1535</v>
      </c>
      <c r="U33" s="228">
        <v>1.1707000000000001</v>
      </c>
      <c r="V33" s="228">
        <v>1.1879</v>
      </c>
      <c r="W33" s="232">
        <v>1.1503000000000001</v>
      </c>
      <c r="X33" s="232">
        <v>1.1675</v>
      </c>
      <c r="Y33" s="230">
        <v>1.1847000000000001</v>
      </c>
      <c r="Z33" s="224">
        <v>1.1626000000000001</v>
      </c>
      <c r="AA33" s="226">
        <v>1.1798</v>
      </c>
      <c r="AB33" s="226">
        <v>1.1970000000000001</v>
      </c>
      <c r="AC33" s="169">
        <v>1.1593</v>
      </c>
      <c r="AD33" s="169">
        <v>1.1766000000000001</v>
      </c>
      <c r="AE33" s="169">
        <v>1.1938</v>
      </c>
      <c r="AF33" s="164">
        <v>1.1560999999999999</v>
      </c>
      <c r="AG33" s="228">
        <v>1.1734</v>
      </c>
      <c r="AH33" s="228">
        <v>1.1906000000000001</v>
      </c>
      <c r="AI33" s="232">
        <v>1.1529</v>
      </c>
      <c r="AJ33" s="232">
        <v>1.1701999999999999</v>
      </c>
      <c r="AK33" s="166">
        <v>1.1874</v>
      </c>
    </row>
    <row r="34" spans="1:37">
      <c r="A34" s="156">
        <v>270</v>
      </c>
      <c r="B34" s="224">
        <v>1.1561999999999999</v>
      </c>
      <c r="C34" s="226">
        <v>1.1733</v>
      </c>
      <c r="D34" s="226">
        <v>1.1903999999999999</v>
      </c>
      <c r="E34" s="169">
        <v>1.153</v>
      </c>
      <c r="F34" s="169">
        <v>1.1400999999999999</v>
      </c>
      <c r="G34" s="169">
        <v>1.1872</v>
      </c>
      <c r="H34" s="164">
        <v>1.1497999999999999</v>
      </c>
      <c r="I34" s="228">
        <v>1.1669</v>
      </c>
      <c r="J34" s="228">
        <v>1.1839999999999999</v>
      </c>
      <c r="K34" s="232">
        <v>1.1466000000000001</v>
      </c>
      <c r="L34" s="232">
        <v>1.1637</v>
      </c>
      <c r="M34" s="230">
        <v>1.1808000000000001</v>
      </c>
      <c r="N34" s="224">
        <v>1.1589</v>
      </c>
      <c r="O34" s="226">
        <v>1.1759999999999999</v>
      </c>
      <c r="P34" s="226">
        <v>1.1931</v>
      </c>
      <c r="Q34" s="169">
        <v>1.1556999999999999</v>
      </c>
      <c r="R34" s="169">
        <v>1.1728000000000001</v>
      </c>
      <c r="S34" s="169">
        <v>1.1899</v>
      </c>
      <c r="T34" s="164">
        <v>1.1525000000000001</v>
      </c>
      <c r="U34" s="228">
        <v>1.1696</v>
      </c>
      <c r="V34" s="228">
        <v>1.1867000000000001</v>
      </c>
      <c r="W34" s="232">
        <v>1.1493</v>
      </c>
      <c r="X34" s="232">
        <v>1.1664000000000001</v>
      </c>
      <c r="Y34" s="230">
        <v>1.1835</v>
      </c>
      <c r="Z34" s="224">
        <v>1.1616</v>
      </c>
      <c r="AA34" s="226">
        <v>1.1787000000000001</v>
      </c>
      <c r="AB34" s="226">
        <v>1.1958</v>
      </c>
      <c r="AC34" s="169">
        <v>1.1584000000000001</v>
      </c>
      <c r="AD34" s="169">
        <v>1.1755</v>
      </c>
      <c r="AE34" s="169">
        <v>1.1926000000000001</v>
      </c>
      <c r="AF34" s="164">
        <v>1.1552</v>
      </c>
      <c r="AG34" s="228">
        <v>1.1722999999999999</v>
      </c>
      <c r="AH34" s="228">
        <v>1.1894</v>
      </c>
      <c r="AI34" s="232">
        <v>1.1519999999999999</v>
      </c>
      <c r="AJ34" s="232">
        <v>1.1691</v>
      </c>
      <c r="AK34" s="166">
        <v>1.1860999999999999</v>
      </c>
    </row>
    <row r="35" spans="1:37">
      <c r="A35" s="156">
        <v>280</v>
      </c>
      <c r="B35" s="224">
        <v>1.1553</v>
      </c>
      <c r="C35" s="226">
        <v>1.1721999999999999</v>
      </c>
      <c r="D35" s="226">
        <v>1.1892</v>
      </c>
      <c r="E35" s="169">
        <v>1.1520999999999999</v>
      </c>
      <c r="F35" s="169">
        <v>1.169</v>
      </c>
      <c r="G35" s="169">
        <v>1.1859999999999999</v>
      </c>
      <c r="H35" s="164">
        <v>1.1489</v>
      </c>
      <c r="I35" s="228">
        <v>1.1657999999999999</v>
      </c>
      <c r="J35" s="228">
        <v>1.1828000000000001</v>
      </c>
      <c r="K35" s="232">
        <v>1.1456</v>
      </c>
      <c r="L35" s="232">
        <v>1.1626000000000001</v>
      </c>
      <c r="M35" s="230">
        <v>1.1796</v>
      </c>
      <c r="N35" s="224">
        <v>1.1579999999999999</v>
      </c>
      <c r="O35" s="226">
        <v>1.1749000000000001</v>
      </c>
      <c r="P35" s="226">
        <v>1.1919</v>
      </c>
      <c r="Q35" s="169">
        <v>1.1547000000000001</v>
      </c>
      <c r="R35" s="169">
        <v>1.1717</v>
      </c>
      <c r="S35" s="169">
        <v>1.1887000000000001</v>
      </c>
      <c r="T35" s="164">
        <v>1.1515</v>
      </c>
      <c r="U35" s="228">
        <v>1.1685000000000001</v>
      </c>
      <c r="V35" s="228">
        <v>1.1854</v>
      </c>
      <c r="W35" s="232">
        <v>1.1483000000000001</v>
      </c>
      <c r="X35" s="232">
        <v>1.1653</v>
      </c>
      <c r="Y35" s="230">
        <v>1.1821999999999999</v>
      </c>
      <c r="Z35" s="224">
        <v>1.1606000000000001</v>
      </c>
      <c r="AA35" s="226">
        <v>1.1776</v>
      </c>
      <c r="AB35" s="226">
        <v>1.1944999999999999</v>
      </c>
      <c r="AC35" s="169">
        <v>1.1574</v>
      </c>
      <c r="AD35" s="169">
        <v>1.1744000000000001</v>
      </c>
      <c r="AE35" s="169">
        <v>1.1913</v>
      </c>
      <c r="AF35" s="164">
        <v>1.1541999999999999</v>
      </c>
      <c r="AG35" s="228">
        <v>1.1712</v>
      </c>
      <c r="AH35" s="228">
        <v>1.1880999999999999</v>
      </c>
      <c r="AI35" s="232">
        <v>1.151</v>
      </c>
      <c r="AJ35" s="232">
        <v>1.1679999999999999</v>
      </c>
      <c r="AK35" s="166">
        <v>1.1849000000000001</v>
      </c>
    </row>
    <row r="36" spans="1:37">
      <c r="A36" s="156">
        <v>290</v>
      </c>
      <c r="B36" s="224">
        <v>1.1544000000000001</v>
      </c>
      <c r="C36" s="226">
        <v>1.1713</v>
      </c>
      <c r="D36" s="226">
        <v>1.1880999999999999</v>
      </c>
      <c r="E36" s="169">
        <v>1.1512</v>
      </c>
      <c r="F36" s="169">
        <v>1.1679999999999999</v>
      </c>
      <c r="G36" s="169">
        <v>1.1849000000000001</v>
      </c>
      <c r="H36" s="164">
        <v>1.1479999999999999</v>
      </c>
      <c r="I36" s="228">
        <v>1.1648000000000001</v>
      </c>
      <c r="J36" s="228">
        <v>1.1817</v>
      </c>
      <c r="K36" s="232">
        <v>1.1448</v>
      </c>
      <c r="L36" s="232">
        <v>1.1616</v>
      </c>
      <c r="M36" s="230">
        <v>1.1785000000000001</v>
      </c>
      <c r="N36" s="224">
        <v>1.1571</v>
      </c>
      <c r="O36" s="226">
        <v>1.1738999999999999</v>
      </c>
      <c r="P36" s="226">
        <v>1.1908000000000001</v>
      </c>
      <c r="Q36" s="169">
        <v>1.1538999999999999</v>
      </c>
      <c r="R36" s="169">
        <v>1.1707000000000001</v>
      </c>
      <c r="S36" s="169">
        <v>1.1875</v>
      </c>
      <c r="T36" s="164">
        <v>1.1507000000000001</v>
      </c>
      <c r="U36" s="228">
        <v>1.1675</v>
      </c>
      <c r="V36" s="228">
        <v>1.1842999999999999</v>
      </c>
      <c r="W36" s="232">
        <v>1.1475</v>
      </c>
      <c r="X36" s="232">
        <v>1.1642999999999999</v>
      </c>
      <c r="Y36" s="230">
        <v>1.1811</v>
      </c>
      <c r="Z36" s="224">
        <v>1.1597999999999999</v>
      </c>
      <c r="AA36" s="226">
        <v>1.1766000000000001</v>
      </c>
      <c r="AB36" s="226">
        <v>1.1934</v>
      </c>
      <c r="AC36" s="169">
        <v>1.1566000000000001</v>
      </c>
      <c r="AD36" s="169">
        <v>1.1734</v>
      </c>
      <c r="AE36" s="169">
        <v>1.1901999999999999</v>
      </c>
      <c r="AF36" s="164">
        <v>1.1534</v>
      </c>
      <c r="AG36" s="228">
        <v>1.1701999999999999</v>
      </c>
      <c r="AH36" s="228">
        <v>1.1870000000000001</v>
      </c>
      <c r="AI36" s="232">
        <v>1.1500999999999999</v>
      </c>
      <c r="AJ36" s="232">
        <v>1.167</v>
      </c>
      <c r="AK36" s="166">
        <v>1.1838</v>
      </c>
    </row>
    <row r="37" spans="1:37">
      <c r="A37" s="156">
        <v>300</v>
      </c>
      <c r="B37" s="224">
        <v>1.1536</v>
      </c>
      <c r="C37" s="226">
        <v>1.1702999999999999</v>
      </c>
      <c r="D37" s="226">
        <v>1.1870000000000001</v>
      </c>
      <c r="E37" s="169">
        <v>1.1504000000000001</v>
      </c>
      <c r="F37" s="169">
        <v>1.1671</v>
      </c>
      <c r="G37" s="169">
        <v>1.1838</v>
      </c>
      <c r="H37" s="164">
        <v>1.1471</v>
      </c>
      <c r="I37" s="228">
        <v>1.1638999999999999</v>
      </c>
      <c r="J37" s="228">
        <v>1.1806000000000001</v>
      </c>
      <c r="K37" s="232">
        <v>1.1438999999999999</v>
      </c>
      <c r="L37" s="232">
        <v>1.1606000000000001</v>
      </c>
      <c r="M37" s="230">
        <v>1.1774</v>
      </c>
      <c r="N37" s="224">
        <v>1.1561999999999999</v>
      </c>
      <c r="O37" s="226">
        <v>1.173</v>
      </c>
      <c r="P37" s="226">
        <v>1.1897</v>
      </c>
      <c r="Q37" s="169">
        <v>1.153</v>
      </c>
      <c r="R37" s="169">
        <v>1.1697</v>
      </c>
      <c r="S37" s="169">
        <v>1.1865000000000001</v>
      </c>
      <c r="T37" s="164">
        <v>1.1497999999999999</v>
      </c>
      <c r="U37" s="228">
        <v>1.1665000000000001</v>
      </c>
      <c r="V37" s="228">
        <v>1.1832</v>
      </c>
      <c r="W37" s="232">
        <v>1.1466000000000001</v>
      </c>
      <c r="X37" s="232">
        <v>1.1533</v>
      </c>
      <c r="Y37" s="230">
        <v>1.18</v>
      </c>
      <c r="Z37" s="224">
        <v>1.1589</v>
      </c>
      <c r="AA37" s="226">
        <v>1.1756</v>
      </c>
      <c r="AB37" s="226">
        <v>1.1922999999999999</v>
      </c>
      <c r="AC37" s="169">
        <v>1.1556999999999999</v>
      </c>
      <c r="AD37" s="169">
        <v>1.1724300000000001</v>
      </c>
      <c r="AE37" s="169">
        <v>1.1891</v>
      </c>
      <c r="AF37" s="164">
        <v>1.1525000000000001</v>
      </c>
      <c r="AG37" s="228">
        <v>1.1692</v>
      </c>
      <c r="AH37" s="228">
        <v>1.1859</v>
      </c>
      <c r="AI37" s="232">
        <v>1.1493</v>
      </c>
      <c r="AJ37" s="232">
        <v>1.66</v>
      </c>
      <c r="AK37" s="166">
        <v>1.1827000000000001</v>
      </c>
    </row>
    <row r="38" spans="1:37">
      <c r="A38" s="156">
        <v>350</v>
      </c>
      <c r="B38" s="224">
        <v>1.1531</v>
      </c>
      <c r="C38" s="226">
        <v>1.1698</v>
      </c>
      <c r="D38" s="226">
        <v>1.1863999999999999</v>
      </c>
      <c r="E38" s="169">
        <v>1.1498999999999999</v>
      </c>
      <c r="F38" s="169">
        <v>1.1666000000000001</v>
      </c>
      <c r="G38" s="169">
        <v>1.1832</v>
      </c>
      <c r="H38" s="164">
        <v>1.1467000000000001</v>
      </c>
      <c r="I38" s="228">
        <v>1.1634</v>
      </c>
      <c r="J38" s="228">
        <v>1.18</v>
      </c>
      <c r="K38" s="232">
        <v>1.1435</v>
      </c>
      <c r="L38" s="232">
        <v>1.1601999999999999</v>
      </c>
      <c r="M38" s="230">
        <v>1.1768000000000001</v>
      </c>
      <c r="N38" s="224">
        <v>1.1557999999999999</v>
      </c>
      <c r="O38" s="226">
        <v>1.1725000000000001</v>
      </c>
      <c r="P38" s="226">
        <v>1.1891</v>
      </c>
      <c r="Q38" s="169">
        <v>1.1526000000000001</v>
      </c>
      <c r="R38" s="169">
        <v>1.1693</v>
      </c>
      <c r="S38" s="169">
        <v>1.1859</v>
      </c>
      <c r="T38" s="164">
        <v>1.1494</v>
      </c>
      <c r="U38" s="228">
        <v>1.1659999999999999</v>
      </c>
      <c r="V38" s="228">
        <v>1.1827000000000001</v>
      </c>
      <c r="W38" s="232">
        <v>1.1462000000000001</v>
      </c>
      <c r="X38" s="232">
        <v>1.1528</v>
      </c>
      <c r="Y38" s="230">
        <v>1.1795</v>
      </c>
      <c r="Z38" s="224">
        <v>1.1585000000000001</v>
      </c>
      <c r="AA38" s="226">
        <v>1.1751</v>
      </c>
      <c r="AB38" s="226">
        <v>1.1918</v>
      </c>
      <c r="AC38" s="169">
        <v>1.1553</v>
      </c>
      <c r="AD38" s="169">
        <v>1.1718999999999999</v>
      </c>
      <c r="AE38" s="169">
        <v>1.1886000000000001</v>
      </c>
      <c r="AF38" s="164">
        <v>1.1520999999999999</v>
      </c>
      <c r="AG38" s="228">
        <v>1.1687000000000001</v>
      </c>
      <c r="AH38" s="228">
        <v>1.1854</v>
      </c>
      <c r="AI38" s="232">
        <v>1.1489</v>
      </c>
      <c r="AJ38" s="232">
        <v>1.655</v>
      </c>
      <c r="AK38" s="166">
        <v>1.1821999999999999</v>
      </c>
    </row>
    <row r="39" spans="1:37">
      <c r="A39" s="156">
        <v>400</v>
      </c>
      <c r="B39" s="224">
        <v>1.1518999999999999</v>
      </c>
      <c r="C39" s="226">
        <v>1.1687000000000001</v>
      </c>
      <c r="D39" s="226">
        <v>1.1855</v>
      </c>
      <c r="E39" s="169">
        <v>1.1483000000000001</v>
      </c>
      <c r="F39" s="169">
        <v>1.1652</v>
      </c>
      <c r="G39" s="169">
        <v>1.1819999999999999</v>
      </c>
      <c r="H39" s="164">
        <v>1.1449</v>
      </c>
      <c r="I39" s="228">
        <v>1.1617</v>
      </c>
      <c r="J39" s="228">
        <v>1.1786000000000001</v>
      </c>
      <c r="K39" s="232">
        <v>1.1414</v>
      </c>
      <c r="L39" s="232">
        <v>1.1581999999999999</v>
      </c>
      <c r="M39" s="230">
        <v>1.175</v>
      </c>
      <c r="N39" s="224">
        <v>1.1547000000000001</v>
      </c>
      <c r="O39" s="226">
        <v>1.1716</v>
      </c>
      <c r="P39" s="226">
        <v>1.1883999999999999</v>
      </c>
      <c r="Q39" s="169">
        <v>1.1513</v>
      </c>
      <c r="R39" s="169">
        <v>1.1681999999999999</v>
      </c>
      <c r="S39" s="169">
        <v>1.1850000000000001</v>
      </c>
      <c r="T39" s="164">
        <v>1.1477999999999999</v>
      </c>
      <c r="U39" s="228">
        <v>1.1646000000000001</v>
      </c>
      <c r="V39" s="228">
        <v>1.1815</v>
      </c>
      <c r="W39" s="232">
        <v>1.1444000000000001</v>
      </c>
      <c r="X39" s="232">
        <v>1.1612</v>
      </c>
      <c r="Y39" s="230">
        <v>1.1779999999999999</v>
      </c>
      <c r="Z39" s="224">
        <v>1.1577</v>
      </c>
      <c r="AA39" s="226">
        <v>1.1746000000000001</v>
      </c>
      <c r="AB39" s="226">
        <v>1.1914</v>
      </c>
      <c r="AC39" s="169">
        <v>1.1541999999999999</v>
      </c>
      <c r="AD39" s="169">
        <v>1.171</v>
      </c>
      <c r="AE39" s="169">
        <v>1.1879</v>
      </c>
      <c r="AF39" s="164">
        <v>1.1508</v>
      </c>
      <c r="AG39" s="228">
        <v>1.1676</v>
      </c>
      <c r="AH39" s="228">
        <v>1.1845000000000001</v>
      </c>
      <c r="AI39" s="232">
        <v>1.1473</v>
      </c>
      <c r="AJ39" s="232">
        <v>1.1640999999999999</v>
      </c>
      <c r="AK39" s="166">
        <v>1.1809000000000001</v>
      </c>
    </row>
    <row r="40" spans="1:37">
      <c r="A40" s="156">
        <v>450</v>
      </c>
      <c r="B40" s="224">
        <v>1.1516</v>
      </c>
      <c r="C40" s="226">
        <v>1.1684000000000001</v>
      </c>
      <c r="D40" s="226">
        <v>1.1852</v>
      </c>
      <c r="E40" s="169">
        <v>1.1480999999999999</v>
      </c>
      <c r="F40" s="169">
        <v>1.1649</v>
      </c>
      <c r="G40" s="169">
        <v>1.1817</v>
      </c>
      <c r="H40" s="164">
        <v>1.1447000000000001</v>
      </c>
      <c r="I40" s="228">
        <v>1.1615</v>
      </c>
      <c r="J40" s="228">
        <v>1.1782999999999999</v>
      </c>
      <c r="K40" s="232">
        <v>1.1412</v>
      </c>
      <c r="L40" s="232">
        <v>1.1579999999999999</v>
      </c>
      <c r="M40" s="230">
        <v>1.1748000000000001</v>
      </c>
      <c r="N40" s="224">
        <v>1.1545000000000001</v>
      </c>
      <c r="O40" s="226">
        <v>1.1713</v>
      </c>
      <c r="P40" s="226">
        <v>1.1880999999999999</v>
      </c>
      <c r="Q40" s="169">
        <v>1.1511</v>
      </c>
      <c r="R40" s="169">
        <v>1.1678999999999999</v>
      </c>
      <c r="S40" s="169">
        <v>1.1847000000000001</v>
      </c>
      <c r="T40" s="164">
        <v>1.1476</v>
      </c>
      <c r="U40" s="228">
        <v>1.1644000000000001</v>
      </c>
      <c r="V40" s="228">
        <v>1.1812</v>
      </c>
      <c r="W40" s="232">
        <v>1.1442000000000001</v>
      </c>
      <c r="X40" s="232">
        <v>1.161</v>
      </c>
      <c r="Y40" s="230">
        <v>1.1778</v>
      </c>
      <c r="Z40" s="224">
        <v>1.1575</v>
      </c>
      <c r="AA40" s="226">
        <v>1.1742999999999999</v>
      </c>
      <c r="AB40" s="226">
        <v>1.1911</v>
      </c>
      <c r="AC40" s="169">
        <v>1.1539999999999999</v>
      </c>
      <c r="AD40" s="169">
        <v>1.1708000000000001</v>
      </c>
      <c r="AE40" s="169">
        <v>1.1876</v>
      </c>
      <c r="AF40" s="164">
        <v>1.1506000000000001</v>
      </c>
      <c r="AG40" s="228">
        <v>1.1674</v>
      </c>
      <c r="AH40" s="228">
        <v>1.1841999999999999</v>
      </c>
      <c r="AI40" s="232">
        <v>1.147</v>
      </c>
      <c r="AJ40" s="232">
        <v>1.1637999999999999</v>
      </c>
      <c r="AK40" s="166">
        <v>1.1806000000000001</v>
      </c>
    </row>
    <row r="41" spans="1:37">
      <c r="A41" s="156">
        <v>500</v>
      </c>
      <c r="B41" s="224">
        <v>1.1505000000000001</v>
      </c>
      <c r="C41" s="226">
        <v>1.1673</v>
      </c>
      <c r="D41" s="226">
        <v>1.1840999999999999</v>
      </c>
      <c r="E41" s="169">
        <v>1.1468</v>
      </c>
      <c r="F41" s="169">
        <v>1.1636</v>
      </c>
      <c r="G41" s="169">
        <v>1.1803999999999999</v>
      </c>
      <c r="H41" s="164">
        <v>1.1432</v>
      </c>
      <c r="I41" s="228">
        <v>1.1599999999999999</v>
      </c>
      <c r="J41" s="228">
        <v>1.1768000000000001</v>
      </c>
      <c r="K41" s="232">
        <v>1.1395999999999999</v>
      </c>
      <c r="L41" s="232">
        <v>1.1563000000000001</v>
      </c>
      <c r="M41" s="230">
        <v>1.1731</v>
      </c>
      <c r="N41" s="224">
        <v>1.1535</v>
      </c>
      <c r="O41" s="226">
        <v>1.1702999999999999</v>
      </c>
      <c r="P41" s="226">
        <v>1.1870000000000001</v>
      </c>
      <c r="Q41" s="169">
        <v>1.1498999999999999</v>
      </c>
      <c r="R41" s="169">
        <v>1.1667000000000001</v>
      </c>
      <c r="S41" s="169">
        <v>1.1835</v>
      </c>
      <c r="T41" s="164">
        <v>1.1463000000000001</v>
      </c>
      <c r="U41" s="228">
        <v>1.1631</v>
      </c>
      <c r="V41" s="228">
        <v>1.1798999999999999</v>
      </c>
      <c r="W41" s="232">
        <v>1.1427</v>
      </c>
      <c r="X41" s="232">
        <v>1.1594</v>
      </c>
      <c r="Y41" s="230">
        <v>1.1761999999999999</v>
      </c>
      <c r="Z41" s="224">
        <v>1.1566000000000001</v>
      </c>
      <c r="AA41" s="226">
        <v>1.1734</v>
      </c>
      <c r="AB41" s="226">
        <v>1.1900999999999999</v>
      </c>
      <c r="AC41" s="169">
        <v>1.1529</v>
      </c>
      <c r="AD41" s="169">
        <v>1.1697</v>
      </c>
      <c r="AE41" s="169">
        <v>1.1865000000000001</v>
      </c>
      <c r="AF41" s="164">
        <v>1.1494</v>
      </c>
      <c r="AG41" s="228">
        <v>1.1661999999999999</v>
      </c>
      <c r="AH41" s="228">
        <v>1.1830000000000001</v>
      </c>
      <c r="AI41" s="232">
        <v>1.1457999999999999</v>
      </c>
      <c r="AJ41" s="232">
        <v>1.1625000000000001</v>
      </c>
      <c r="AK41" s="166">
        <v>1.1793</v>
      </c>
    </row>
    <row r="42" spans="1:37">
      <c r="A42" s="156">
        <v>700</v>
      </c>
      <c r="B42" s="224">
        <v>1.1477999999999999</v>
      </c>
      <c r="C42" s="226">
        <v>1.1640999999999999</v>
      </c>
      <c r="D42" s="226">
        <v>1.1805000000000001</v>
      </c>
      <c r="E42" s="169">
        <v>1.1443000000000001</v>
      </c>
      <c r="F42" s="169">
        <v>1.1606000000000001</v>
      </c>
      <c r="G42" s="169">
        <v>1.177</v>
      </c>
      <c r="H42" s="164">
        <v>1.1406000000000001</v>
      </c>
      <c r="I42" s="228">
        <v>1.157</v>
      </c>
      <c r="J42" s="228">
        <v>1.1733</v>
      </c>
      <c r="K42" s="232">
        <v>1.137</v>
      </c>
      <c r="L42" s="232">
        <v>1.1533</v>
      </c>
      <c r="M42" s="230">
        <v>1.1697</v>
      </c>
      <c r="N42" s="224">
        <v>1.1509</v>
      </c>
      <c r="O42" s="226">
        <v>1.1673</v>
      </c>
      <c r="P42" s="226">
        <v>1.1836</v>
      </c>
      <c r="Q42" s="169">
        <v>1.1473</v>
      </c>
      <c r="R42" s="169">
        <v>1.1636</v>
      </c>
      <c r="S42" s="169">
        <v>1.18</v>
      </c>
      <c r="T42" s="164">
        <v>1.1436999999999999</v>
      </c>
      <c r="U42" s="228">
        <v>1.1600999999999999</v>
      </c>
      <c r="V42" s="228">
        <v>1.1763999999999999</v>
      </c>
      <c r="W42" s="232">
        <v>1.1400999999999999</v>
      </c>
      <c r="X42" s="232">
        <v>1.1564000000000001</v>
      </c>
      <c r="Y42" s="230">
        <v>1.1728000000000001</v>
      </c>
      <c r="Z42" s="224">
        <v>1.1539999999999999</v>
      </c>
      <c r="AA42" s="226">
        <v>1.1704000000000001</v>
      </c>
      <c r="AB42" s="226">
        <v>1.1867000000000001</v>
      </c>
      <c r="AC42" s="169">
        <v>1.1504000000000001</v>
      </c>
      <c r="AD42" s="169">
        <v>1.1667000000000001</v>
      </c>
      <c r="AE42" s="169">
        <v>1.1831</v>
      </c>
      <c r="AF42" s="164">
        <v>1.1467000000000001</v>
      </c>
      <c r="AG42" s="164">
        <v>1.1631</v>
      </c>
      <c r="AH42" s="228">
        <v>1.1791</v>
      </c>
      <c r="AI42" s="232">
        <v>1.1432</v>
      </c>
      <c r="AJ42" s="232">
        <v>1.1595</v>
      </c>
      <c r="AK42" s="166">
        <v>1.1758999999999999</v>
      </c>
    </row>
    <row r="43" spans="1:37" ht="24.75" thickBot="1">
      <c r="A43" s="156" t="s">
        <v>159</v>
      </c>
      <c r="B43" s="225">
        <v>1.1477999999999999</v>
      </c>
      <c r="C43" s="227">
        <v>1.1640999999999999</v>
      </c>
      <c r="D43" s="227">
        <v>1.1805000000000001</v>
      </c>
      <c r="E43" s="176">
        <v>1.1443000000000001</v>
      </c>
      <c r="F43" s="176">
        <v>1.1606000000000001</v>
      </c>
      <c r="G43" s="176">
        <v>1.177</v>
      </c>
      <c r="H43" s="165">
        <v>1.1406000000000001</v>
      </c>
      <c r="I43" s="229">
        <v>1.157</v>
      </c>
      <c r="J43" s="229">
        <v>1.1733</v>
      </c>
      <c r="K43" s="233">
        <v>1.137</v>
      </c>
      <c r="L43" s="233">
        <v>1.1533</v>
      </c>
      <c r="M43" s="231">
        <v>1.1697</v>
      </c>
      <c r="N43" s="225">
        <v>1.1509</v>
      </c>
      <c r="O43" s="227">
        <v>1.1673</v>
      </c>
      <c r="P43" s="227">
        <v>1.1836</v>
      </c>
      <c r="Q43" s="176">
        <v>1.143</v>
      </c>
      <c r="R43" s="176">
        <v>1.1636</v>
      </c>
      <c r="S43" s="176">
        <v>1.18</v>
      </c>
      <c r="T43" s="229">
        <v>1.1436999999999999</v>
      </c>
      <c r="U43" s="229">
        <v>1.1600999999999999</v>
      </c>
      <c r="V43" s="229">
        <v>1.1763999999999999</v>
      </c>
      <c r="W43" s="233">
        <v>1.1400999999999999</v>
      </c>
      <c r="X43" s="233">
        <v>1.1564000000000001</v>
      </c>
      <c r="Y43" s="231">
        <v>1.1728000000000001</v>
      </c>
      <c r="Z43" s="225">
        <v>1.1539999999999999</v>
      </c>
      <c r="AA43" s="227">
        <v>1.1704000000000001</v>
      </c>
      <c r="AB43" s="227">
        <v>1.1867000000000001</v>
      </c>
      <c r="AC43" s="176">
        <v>1.504</v>
      </c>
      <c r="AD43" s="176">
        <v>1.1667000000000001</v>
      </c>
      <c r="AE43" s="176">
        <v>1.1831</v>
      </c>
      <c r="AF43" s="165">
        <v>1.1467000000000001</v>
      </c>
      <c r="AG43" s="165">
        <v>1.1631</v>
      </c>
      <c r="AH43" s="229">
        <v>1.1794</v>
      </c>
      <c r="AI43" s="233">
        <v>1.1432</v>
      </c>
      <c r="AJ43" s="233">
        <v>1.1595</v>
      </c>
      <c r="AK43" s="177">
        <v>1.1758999999999999</v>
      </c>
    </row>
    <row r="44" spans="1:37" ht="25.5" thickTop="1" thickBot="1">
      <c r="C44" s="154"/>
      <c r="O44" s="154"/>
      <c r="AA44" s="154"/>
      <c r="AK44" s="37" t="s">
        <v>9</v>
      </c>
    </row>
    <row r="45" spans="1:37">
      <c r="A45" s="244" t="s">
        <v>168</v>
      </c>
      <c r="B45" s="245"/>
      <c r="C45" s="245"/>
      <c r="D45" s="245"/>
      <c r="E45" s="245"/>
      <c r="F45" s="245"/>
      <c r="G45" s="245"/>
      <c r="H45" s="245"/>
      <c r="I45" s="245"/>
      <c r="J45" s="245"/>
      <c r="K45" s="245"/>
      <c r="L45" s="246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62"/>
      <c r="AG45" s="262"/>
      <c r="AH45" s="262"/>
      <c r="AI45" s="262"/>
      <c r="AJ45" s="262"/>
    </row>
    <row r="46" spans="1:37">
      <c r="A46" s="247" t="s">
        <v>169</v>
      </c>
      <c r="B46" s="248"/>
      <c r="C46" s="249" t="s">
        <v>170</v>
      </c>
      <c r="D46" s="248"/>
      <c r="E46" s="248"/>
      <c r="F46" s="248"/>
      <c r="G46" s="248"/>
      <c r="H46" s="248"/>
      <c r="I46" s="248"/>
      <c r="J46" s="248"/>
      <c r="K46" s="248"/>
      <c r="L46" s="250"/>
      <c r="N46" s="262"/>
      <c r="O46" s="263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3"/>
      <c r="AB46" s="262"/>
      <c r="AC46" s="262"/>
      <c r="AD46" s="262"/>
      <c r="AE46" s="262"/>
      <c r="AF46" s="262"/>
      <c r="AG46" s="262"/>
      <c r="AH46" s="262"/>
      <c r="AI46" s="262"/>
      <c r="AJ46" s="262"/>
    </row>
    <row r="47" spans="1:37" ht="24.75" thickBot="1">
      <c r="A47" s="251" t="s">
        <v>171</v>
      </c>
      <c r="B47" s="252"/>
      <c r="C47" s="253" t="s">
        <v>172</v>
      </c>
      <c r="D47" s="252"/>
      <c r="E47" s="252"/>
      <c r="F47" s="252"/>
      <c r="G47" s="252"/>
      <c r="H47" s="252"/>
      <c r="I47" s="252"/>
      <c r="J47" s="252"/>
      <c r="K47" s="252"/>
      <c r="L47" s="254"/>
      <c r="N47" s="262"/>
      <c r="O47" s="263"/>
      <c r="P47" s="262"/>
      <c r="Q47" s="262"/>
      <c r="R47" s="262"/>
      <c r="S47" s="262"/>
      <c r="T47" s="262"/>
      <c r="U47" s="262"/>
      <c r="V47" s="262"/>
      <c r="W47" s="262"/>
      <c r="X47" s="262"/>
      <c r="Y47" s="262"/>
      <c r="Z47" s="262"/>
      <c r="AA47" s="263"/>
      <c r="AB47" s="262"/>
      <c r="AC47" s="262"/>
      <c r="AD47" s="262"/>
      <c r="AE47" s="262"/>
      <c r="AF47" s="262"/>
      <c r="AG47" s="262"/>
      <c r="AH47" s="262"/>
      <c r="AI47" s="262"/>
      <c r="AJ47" s="262"/>
    </row>
  </sheetData>
  <mergeCells count="18">
    <mergeCell ref="Z2:AI2"/>
    <mergeCell ref="Z3:AI3"/>
    <mergeCell ref="Z4:AB4"/>
    <mergeCell ref="AC4:AE4"/>
    <mergeCell ref="AF4:AH4"/>
    <mergeCell ref="AI4:AK4"/>
    <mergeCell ref="B3:K3"/>
    <mergeCell ref="N2:W2"/>
    <mergeCell ref="N3:W3"/>
    <mergeCell ref="E4:G4"/>
    <mergeCell ref="B4:D4"/>
    <mergeCell ref="H4:J4"/>
    <mergeCell ref="K4:M4"/>
    <mergeCell ref="B2:K2"/>
    <mergeCell ref="N4:P4"/>
    <mergeCell ref="Q4:S4"/>
    <mergeCell ref="T4:V4"/>
    <mergeCell ref="W4:Y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workbookViewId="0">
      <selection activeCell="E9" sqref="E9"/>
    </sheetView>
  </sheetViews>
  <sheetFormatPr defaultRowHeight="24"/>
  <cols>
    <col min="1" max="1" width="13.85546875" style="37" customWidth="1"/>
    <col min="2" max="4" width="9.140625" style="37"/>
    <col min="5" max="5" width="11.85546875" style="37" bestFit="1" customWidth="1"/>
    <col min="6" max="6" width="11.85546875" bestFit="1" customWidth="1"/>
    <col min="11" max="12" width="10.7109375" bestFit="1" customWidth="1"/>
  </cols>
  <sheetData>
    <row r="1" spans="1:17" ht="22.5" thickBot="1">
      <c r="A1" s="172">
        <v>1</v>
      </c>
      <c r="B1" s="172">
        <v>2</v>
      </c>
      <c r="C1" s="172">
        <v>3</v>
      </c>
      <c r="D1" s="172">
        <v>4</v>
      </c>
      <c r="E1" s="172">
        <v>5</v>
      </c>
      <c r="F1" s="172">
        <v>6</v>
      </c>
      <c r="G1" s="172">
        <v>7</v>
      </c>
      <c r="H1" s="172">
        <v>8</v>
      </c>
      <c r="I1" s="172">
        <v>9</v>
      </c>
      <c r="J1" s="172">
        <v>10</v>
      </c>
      <c r="K1" s="172">
        <v>11</v>
      </c>
      <c r="L1" s="172">
        <v>12</v>
      </c>
      <c r="M1" s="172">
        <v>13</v>
      </c>
      <c r="N1" s="172">
        <v>14</v>
      </c>
      <c r="O1" s="172">
        <v>15</v>
      </c>
      <c r="P1" s="172">
        <v>16</v>
      </c>
      <c r="Q1" s="172">
        <v>17</v>
      </c>
    </row>
    <row r="2" spans="1:17" ht="30.75" thickTop="1" thickBot="1">
      <c r="A2" s="161" t="s">
        <v>109</v>
      </c>
      <c r="B2" s="674">
        <v>0</v>
      </c>
      <c r="C2" s="675"/>
      <c r="D2" s="675"/>
      <c r="E2" s="683"/>
      <c r="F2" s="666">
        <v>0.05</v>
      </c>
      <c r="G2" s="667"/>
      <c r="H2" s="667"/>
      <c r="I2" s="668"/>
      <c r="J2" s="666">
        <v>0.1</v>
      </c>
      <c r="K2" s="667"/>
      <c r="L2" s="667"/>
      <c r="M2" s="668"/>
      <c r="N2" s="666"/>
      <c r="O2" s="667"/>
      <c r="P2" s="667"/>
      <c r="Q2" s="668"/>
    </row>
    <row r="3" spans="1:17" ht="25.5" thickTop="1" thickBot="1">
      <c r="A3" s="154"/>
      <c r="B3" s="669" t="s">
        <v>39</v>
      </c>
      <c r="C3" s="670"/>
      <c r="D3" s="670"/>
      <c r="E3" s="671"/>
      <c r="F3" s="669" t="s">
        <v>39</v>
      </c>
      <c r="G3" s="670"/>
      <c r="H3" s="670"/>
      <c r="I3" s="671"/>
      <c r="J3" s="669" t="s">
        <v>39</v>
      </c>
      <c r="K3" s="670"/>
      <c r="L3" s="670"/>
      <c r="M3" s="671"/>
      <c r="N3" s="669" t="s">
        <v>39</v>
      </c>
      <c r="O3" s="670"/>
      <c r="P3" s="670"/>
      <c r="Q3" s="671"/>
    </row>
    <row r="4" spans="1:17" ht="24.75" thickTop="1">
      <c r="A4" s="155" t="s">
        <v>40</v>
      </c>
      <c r="B4" s="170">
        <v>0</v>
      </c>
      <c r="C4" s="168">
        <v>0.05</v>
      </c>
      <c r="D4" s="159">
        <v>0.1</v>
      </c>
      <c r="E4" s="160">
        <v>0.15</v>
      </c>
      <c r="F4" s="158">
        <v>0</v>
      </c>
      <c r="G4" s="159">
        <v>0.05</v>
      </c>
      <c r="H4" s="159">
        <v>0.1</v>
      </c>
      <c r="I4" s="160">
        <v>0.15</v>
      </c>
      <c r="J4" s="158">
        <v>0</v>
      </c>
      <c r="K4" s="159">
        <v>0.05</v>
      </c>
      <c r="L4" s="159">
        <v>0.1</v>
      </c>
      <c r="M4" s="160">
        <v>0.15</v>
      </c>
      <c r="N4" s="158">
        <v>0</v>
      </c>
      <c r="O4" s="159">
        <v>0.05</v>
      </c>
      <c r="P4" s="159">
        <v>0.1</v>
      </c>
      <c r="Q4" s="160">
        <v>0.15</v>
      </c>
    </row>
    <row r="5" spans="1:17">
      <c r="A5" s="156">
        <v>0</v>
      </c>
      <c r="B5" s="171">
        <v>1.2782</v>
      </c>
      <c r="C5" s="169">
        <v>1.2771999999999999</v>
      </c>
      <c r="D5" s="164">
        <v>1.2761</v>
      </c>
      <c r="E5" s="166">
        <v>1.2749999999999999</v>
      </c>
      <c r="F5" s="162">
        <v>1.2787999999999999</v>
      </c>
      <c r="G5" s="163">
        <v>1.2777000000000001</v>
      </c>
      <c r="H5" s="164">
        <v>1.2766</v>
      </c>
      <c r="I5" s="166">
        <v>1.2755000000000001</v>
      </c>
      <c r="J5" s="162">
        <v>1.2793000000000001</v>
      </c>
      <c r="K5" s="163">
        <v>1.2782</v>
      </c>
      <c r="L5" s="164">
        <v>1.2771999999999999</v>
      </c>
      <c r="M5" s="166">
        <v>1.2790999999999999</v>
      </c>
      <c r="N5" s="162"/>
      <c r="O5" s="163"/>
      <c r="P5" s="164"/>
      <c r="Q5" s="166"/>
    </row>
    <row r="6" spans="1:17">
      <c r="A6" s="156">
        <v>5</v>
      </c>
      <c r="B6" s="171">
        <v>1.2782</v>
      </c>
      <c r="C6" s="169">
        <v>1.2771999999999999</v>
      </c>
      <c r="D6" s="164">
        <v>1.2761</v>
      </c>
      <c r="E6" s="166">
        <v>1.2749999999999999</v>
      </c>
      <c r="F6" s="162">
        <v>1.2787999999999999</v>
      </c>
      <c r="G6" s="163">
        <v>1.2777000000000001</v>
      </c>
      <c r="H6" s="164">
        <v>1.2766</v>
      </c>
      <c r="I6" s="166">
        <v>1.2755000000000001</v>
      </c>
      <c r="J6" s="162">
        <v>1.2793000000000001</v>
      </c>
      <c r="K6" s="163">
        <v>1.2782</v>
      </c>
      <c r="L6" s="164">
        <v>1.2771999999999999</v>
      </c>
      <c r="M6" s="166">
        <v>1.2790999999999999</v>
      </c>
      <c r="N6" s="162"/>
      <c r="O6" s="163"/>
      <c r="P6" s="164"/>
      <c r="Q6" s="166"/>
    </row>
    <row r="7" spans="1:17">
      <c r="A7" s="156">
        <v>10</v>
      </c>
      <c r="B7" s="171">
        <v>1.2445999999999999</v>
      </c>
      <c r="C7" s="169">
        <v>1.12432</v>
      </c>
      <c r="D7" s="164">
        <v>1.2419</v>
      </c>
      <c r="E7" s="166">
        <v>1.2405999999999999</v>
      </c>
      <c r="F7" s="162">
        <v>1.2454000000000001</v>
      </c>
      <c r="G7" s="163">
        <v>1.2441</v>
      </c>
      <c r="H7" s="164">
        <v>1.2426999999999999</v>
      </c>
      <c r="I7" s="166">
        <v>1.2414000000000001</v>
      </c>
      <c r="J7" s="162">
        <v>1.2462</v>
      </c>
      <c r="K7" s="163">
        <v>1.2447999999999999</v>
      </c>
      <c r="L7" s="164">
        <v>1.2436</v>
      </c>
      <c r="M7" s="166">
        <v>1.2422</v>
      </c>
      <c r="N7" s="162"/>
      <c r="O7" s="163"/>
      <c r="P7" s="164"/>
      <c r="Q7" s="166"/>
    </row>
    <row r="8" spans="1:17">
      <c r="A8" s="156">
        <v>15</v>
      </c>
      <c r="B8" s="171">
        <v>1.2375</v>
      </c>
      <c r="C8" s="169">
        <v>1.2359</v>
      </c>
      <c r="D8" s="164">
        <v>1.2342</v>
      </c>
      <c r="E8" s="166">
        <v>1.2325999999999999</v>
      </c>
      <c r="F8" s="162">
        <v>1.2384999999999999</v>
      </c>
      <c r="G8" s="163">
        <v>1.2369000000000001</v>
      </c>
      <c r="H8" s="164">
        <v>1.2353000000000001</v>
      </c>
      <c r="I8" s="166">
        <v>1.2337</v>
      </c>
      <c r="J8" s="162">
        <v>1.2396</v>
      </c>
      <c r="K8" s="163">
        <v>1.238</v>
      </c>
      <c r="L8" s="164">
        <v>1.2363999999999999</v>
      </c>
      <c r="M8" s="166">
        <v>1.2347999999999999</v>
      </c>
      <c r="N8" s="162"/>
      <c r="O8" s="163"/>
      <c r="P8" s="164"/>
      <c r="Q8" s="166"/>
    </row>
    <row r="9" spans="1:17">
      <c r="A9" s="156">
        <v>20</v>
      </c>
      <c r="B9" s="171">
        <v>1.2303999999999999</v>
      </c>
      <c r="C9" s="169">
        <v>1.2285999999999999</v>
      </c>
      <c r="D9" s="164">
        <v>1.2265999999999999</v>
      </c>
      <c r="E9" s="166">
        <v>1.2248000000000001</v>
      </c>
      <c r="F9" s="162">
        <v>1.2318</v>
      </c>
      <c r="G9" s="163">
        <v>1.2299</v>
      </c>
      <c r="H9" s="164">
        <v>1.228</v>
      </c>
      <c r="I9" s="166">
        <v>1.2261</v>
      </c>
      <c r="J9" s="162">
        <v>1.2331000000000001</v>
      </c>
      <c r="K9" s="163">
        <v>1.2312000000000001</v>
      </c>
      <c r="L9" s="164">
        <v>1.2292000000000001</v>
      </c>
      <c r="M9" s="166">
        <v>1.2275</v>
      </c>
      <c r="N9" s="162"/>
      <c r="O9" s="163"/>
      <c r="P9" s="164"/>
      <c r="Q9" s="166"/>
    </row>
    <row r="10" spans="1:17">
      <c r="A10" s="156">
        <v>25</v>
      </c>
      <c r="B10" s="171">
        <v>1.2144999999999999</v>
      </c>
      <c r="C10" s="169">
        <v>1.2124999999999999</v>
      </c>
      <c r="D10" s="164">
        <v>1.2107000000000001</v>
      </c>
      <c r="E10" s="166">
        <v>1.2088000000000001</v>
      </c>
      <c r="F10" s="162">
        <v>1.2157</v>
      </c>
      <c r="G10" s="163">
        <v>1.2139</v>
      </c>
      <c r="H10" s="164">
        <v>1.212</v>
      </c>
      <c r="I10" s="166">
        <v>1.2101999999999999</v>
      </c>
      <c r="J10" s="162">
        <v>1.2171000000000001</v>
      </c>
      <c r="K10" s="163">
        <v>1.2152000000000001</v>
      </c>
      <c r="L10" s="164">
        <v>1.2134</v>
      </c>
      <c r="M10" s="166">
        <v>1.2115</v>
      </c>
      <c r="N10" s="162"/>
      <c r="O10" s="163"/>
      <c r="P10" s="164"/>
      <c r="Q10" s="166"/>
    </row>
    <row r="11" spans="1:17">
      <c r="A11" s="156">
        <v>30</v>
      </c>
      <c r="B11" s="171">
        <v>1.2133</v>
      </c>
      <c r="C11" s="169">
        <v>1.2110000000000001</v>
      </c>
      <c r="D11" s="164">
        <v>1.2088000000000001</v>
      </c>
      <c r="E11" s="166">
        <v>1.2063999999999999</v>
      </c>
      <c r="F11" s="162">
        <v>1.2150000000000001</v>
      </c>
      <c r="G11" s="163" t="s">
        <v>158</v>
      </c>
      <c r="H11" s="164">
        <v>1.2104999999999999</v>
      </c>
      <c r="I11" s="166">
        <v>1.2081999999999999</v>
      </c>
      <c r="J11" s="162">
        <v>1.2168000000000001</v>
      </c>
      <c r="K11" s="163">
        <v>1.2144999999999999</v>
      </c>
      <c r="L11" s="164">
        <v>1.2121999999999999</v>
      </c>
      <c r="M11" s="166">
        <v>1.21</v>
      </c>
      <c r="N11" s="162"/>
      <c r="O11" s="163"/>
      <c r="P11" s="164"/>
      <c r="Q11" s="166"/>
    </row>
    <row r="12" spans="1:17">
      <c r="A12" s="156">
        <v>35</v>
      </c>
      <c r="B12" s="171">
        <v>1.2079</v>
      </c>
      <c r="C12" s="169">
        <v>1.2055</v>
      </c>
      <c r="D12" s="164">
        <v>1.2031000000000001</v>
      </c>
      <c r="E12" s="166">
        <v>1.2005999999999999</v>
      </c>
      <c r="F12" s="162">
        <v>1.2097</v>
      </c>
      <c r="G12" s="163">
        <v>1.2074</v>
      </c>
      <c r="H12" s="164">
        <v>1.2049000000000001</v>
      </c>
      <c r="I12" s="166">
        <v>1.2025999999999999</v>
      </c>
      <c r="J12" s="162">
        <v>1.2117</v>
      </c>
      <c r="K12" s="163">
        <v>1.2092000000000001</v>
      </c>
      <c r="L12" s="164">
        <v>1.2069000000000001</v>
      </c>
      <c r="M12" s="166">
        <v>1.2043999999999999</v>
      </c>
      <c r="N12" s="162"/>
      <c r="O12" s="163"/>
      <c r="P12" s="164"/>
      <c r="Q12" s="166"/>
    </row>
    <row r="13" spans="1:17">
      <c r="A13" s="156">
        <v>40</v>
      </c>
      <c r="B13" s="171">
        <v>1.2000999999999999</v>
      </c>
      <c r="C13" s="169">
        <v>1.1977</v>
      </c>
      <c r="D13" s="164">
        <v>1.1953</v>
      </c>
      <c r="E13" s="166">
        <v>1.1928000000000001</v>
      </c>
      <c r="F13" s="162">
        <v>1.2019</v>
      </c>
      <c r="G13" s="163">
        <v>1.1996</v>
      </c>
      <c r="H13" s="164">
        <v>1.1971000000000001</v>
      </c>
      <c r="I13" s="166">
        <v>1.1948000000000001</v>
      </c>
      <c r="J13" s="162">
        <v>1.2039</v>
      </c>
      <c r="K13" s="163">
        <v>1.2014</v>
      </c>
      <c r="L13" s="164">
        <v>1.1990000000000001</v>
      </c>
      <c r="M13" s="166">
        <v>1.1966000000000001</v>
      </c>
      <c r="N13" s="162"/>
      <c r="O13" s="163"/>
      <c r="P13" s="164"/>
      <c r="Q13" s="166"/>
    </row>
    <row r="14" spans="1:17">
      <c r="A14" s="156">
        <v>45</v>
      </c>
      <c r="B14" s="171">
        <v>1.1887000000000001</v>
      </c>
      <c r="C14" s="169">
        <v>1.1862999999999999</v>
      </c>
      <c r="D14" s="164">
        <v>1.1838</v>
      </c>
      <c r="E14" s="166">
        <v>1.1815</v>
      </c>
      <c r="F14" s="162">
        <v>1.1906000000000001</v>
      </c>
      <c r="G14" s="163">
        <v>1.1880999999999999</v>
      </c>
      <c r="H14" s="164">
        <v>1.1858</v>
      </c>
      <c r="I14" s="166">
        <v>1.1833</v>
      </c>
      <c r="J14" s="162">
        <v>1.1923999999999999</v>
      </c>
      <c r="K14" s="163">
        <v>1.1900999999999999</v>
      </c>
      <c r="L14" s="164">
        <v>1.1876</v>
      </c>
      <c r="M14" s="166">
        <v>1.1852</v>
      </c>
      <c r="N14" s="162"/>
      <c r="O14" s="163"/>
      <c r="P14" s="164"/>
      <c r="Q14" s="166"/>
    </row>
    <row r="15" spans="1:17">
      <c r="A15" s="156">
        <v>50</v>
      </c>
      <c r="B15" s="171">
        <v>1.1838</v>
      </c>
      <c r="C15" s="169">
        <v>1.1814</v>
      </c>
      <c r="D15" s="164">
        <v>1.179</v>
      </c>
      <c r="E15" s="166">
        <v>1.1766000000000001</v>
      </c>
      <c r="F15" s="162">
        <v>1.1857</v>
      </c>
      <c r="G15" s="163">
        <v>1.1833</v>
      </c>
      <c r="H15" s="164">
        <v>1.1809000000000001</v>
      </c>
      <c r="I15" s="166">
        <v>1.1785000000000001</v>
      </c>
      <c r="J15" s="162">
        <v>1.1876</v>
      </c>
      <c r="K15" s="163">
        <v>1.1851</v>
      </c>
      <c r="L15" s="164">
        <v>1.1828000000000001</v>
      </c>
      <c r="M15" s="166">
        <v>1.1802999999999999</v>
      </c>
      <c r="N15" s="162"/>
      <c r="O15" s="163"/>
      <c r="P15" s="164"/>
      <c r="Q15" s="166"/>
    </row>
    <row r="16" spans="1:17">
      <c r="A16" s="156">
        <v>55</v>
      </c>
      <c r="B16" s="171">
        <v>1.1826000000000001</v>
      </c>
      <c r="C16" s="169">
        <v>1.1800999999999999</v>
      </c>
      <c r="D16" s="164">
        <v>1.1777</v>
      </c>
      <c r="E16" s="166">
        <v>1.1753</v>
      </c>
      <c r="F16" s="162">
        <v>1.1843999999999999</v>
      </c>
      <c r="G16" s="163">
        <v>1.1819999999999999</v>
      </c>
      <c r="H16" s="164">
        <v>1.1796</v>
      </c>
      <c r="I16" s="166">
        <v>1.1772</v>
      </c>
      <c r="J16" s="162">
        <v>1.1862999999999999</v>
      </c>
      <c r="K16" s="163">
        <v>1.1838</v>
      </c>
      <c r="L16" s="164">
        <v>1.1815</v>
      </c>
      <c r="M16" s="166">
        <v>1.179</v>
      </c>
      <c r="N16" s="162"/>
      <c r="O16" s="163"/>
      <c r="P16" s="164"/>
      <c r="Q16" s="166"/>
    </row>
    <row r="17" spans="1:17">
      <c r="A17" s="156">
        <v>60</v>
      </c>
      <c r="B17" s="171">
        <v>1.181</v>
      </c>
      <c r="C17" s="169">
        <v>1.1785000000000001</v>
      </c>
      <c r="D17" s="164">
        <v>1.1760999999999999</v>
      </c>
      <c r="E17" s="166">
        <v>1.1737</v>
      </c>
      <c r="F17" s="162">
        <v>1.1828000000000001</v>
      </c>
      <c r="G17" s="163">
        <v>1.1803999999999999</v>
      </c>
      <c r="H17" s="164">
        <v>1.1779999999999999</v>
      </c>
      <c r="I17" s="166">
        <v>1.1756</v>
      </c>
      <c r="J17" s="162">
        <v>1.1847000000000001</v>
      </c>
      <c r="K17" s="163">
        <v>1.1821999999999999</v>
      </c>
      <c r="L17" s="164">
        <v>1.1798999999999999</v>
      </c>
      <c r="M17" s="166">
        <v>1.1774</v>
      </c>
      <c r="N17" s="162"/>
      <c r="O17" s="163"/>
      <c r="P17" s="164"/>
      <c r="Q17" s="166"/>
    </row>
    <row r="18" spans="1:17">
      <c r="A18" s="156">
        <v>65</v>
      </c>
      <c r="B18" s="171">
        <v>1.1776</v>
      </c>
      <c r="C18" s="169">
        <v>1.175</v>
      </c>
      <c r="D18" s="164">
        <v>1.1722999999999999</v>
      </c>
      <c r="E18" s="166">
        <v>1.1696</v>
      </c>
      <c r="F18" s="162">
        <v>1.1798</v>
      </c>
      <c r="G18" s="163">
        <v>1.1771</v>
      </c>
      <c r="H18" s="164">
        <v>1.1744000000000001</v>
      </c>
      <c r="I18" s="166">
        <v>1.1718</v>
      </c>
      <c r="J18" s="162">
        <v>1.1819</v>
      </c>
      <c r="K18" s="163">
        <v>1.1792</v>
      </c>
      <c r="L18" s="164">
        <v>1.1766000000000001</v>
      </c>
      <c r="M18" s="166">
        <v>1.1738999999999999</v>
      </c>
      <c r="N18" s="162"/>
      <c r="O18" s="163"/>
      <c r="P18" s="164"/>
      <c r="Q18" s="166"/>
    </row>
    <row r="19" spans="1:17">
      <c r="A19" s="156">
        <v>70</v>
      </c>
      <c r="B19" s="171">
        <v>1.1767000000000001</v>
      </c>
      <c r="C19" s="169">
        <v>1.1738999999999999</v>
      </c>
      <c r="D19" s="164">
        <v>1.1711</v>
      </c>
      <c r="E19" s="166">
        <v>1.1682999999999999</v>
      </c>
      <c r="F19" s="162">
        <v>1.179</v>
      </c>
      <c r="G19" s="163">
        <v>1.1760999999999999</v>
      </c>
      <c r="H19" s="164">
        <v>1.1734</v>
      </c>
      <c r="I19" s="166">
        <v>1.1706000000000001</v>
      </c>
      <c r="J19" s="162">
        <v>1.1813</v>
      </c>
      <c r="K19" s="163">
        <v>1.1785000000000001</v>
      </c>
      <c r="L19" s="164">
        <v>1.1756</v>
      </c>
      <c r="M19" s="166">
        <v>1.1728000000000001</v>
      </c>
      <c r="N19" s="162"/>
      <c r="O19" s="163"/>
      <c r="P19" s="164"/>
      <c r="Q19" s="166"/>
    </row>
    <row r="20" spans="1:17">
      <c r="A20" s="156">
        <v>75</v>
      </c>
      <c r="B20" s="171">
        <v>1.1741999999999999</v>
      </c>
      <c r="C20" s="169">
        <v>1.1714</v>
      </c>
      <c r="D20" s="164">
        <v>1.1685000000000001</v>
      </c>
      <c r="E20" s="166">
        <v>1.1657999999999999</v>
      </c>
      <c r="F20" s="162">
        <v>1.1765000000000001</v>
      </c>
      <c r="G20" s="163">
        <v>1.1737</v>
      </c>
      <c r="H20" s="164">
        <v>1.1709000000000001</v>
      </c>
      <c r="I20" s="166">
        <v>1.1679999999999999</v>
      </c>
      <c r="J20" s="162">
        <v>1.1787000000000001</v>
      </c>
      <c r="K20" s="163">
        <v>1.1758999999999999</v>
      </c>
      <c r="L20" s="164">
        <v>1.1731</v>
      </c>
      <c r="M20" s="166">
        <v>1.1704000000000001</v>
      </c>
      <c r="N20" s="162"/>
      <c r="O20" s="163"/>
      <c r="P20" s="164"/>
      <c r="Q20" s="166"/>
    </row>
    <row r="21" spans="1:17">
      <c r="A21" s="156">
        <v>80</v>
      </c>
      <c r="B21" s="171">
        <v>1.1718</v>
      </c>
      <c r="C21" s="169">
        <v>1.169</v>
      </c>
      <c r="D21" s="164">
        <v>1.1660999999999999</v>
      </c>
      <c r="E21" s="166">
        <v>1.1633</v>
      </c>
      <c r="F21" s="162">
        <v>1.1739999999999999</v>
      </c>
      <c r="G21" s="163">
        <v>1.1712</v>
      </c>
      <c r="H21" s="164">
        <v>1.1684000000000001</v>
      </c>
      <c r="I21" s="166">
        <v>1.1656</v>
      </c>
      <c r="J21" s="162">
        <v>1.7629999999999999</v>
      </c>
      <c r="K21" s="163">
        <v>1.1735</v>
      </c>
      <c r="L21" s="164">
        <v>1.1707000000000001</v>
      </c>
      <c r="M21" s="166">
        <v>1.1678999999999999</v>
      </c>
      <c r="N21" s="162"/>
      <c r="O21" s="163"/>
      <c r="P21" s="164"/>
      <c r="Q21" s="166"/>
    </row>
    <row r="22" spans="1:17">
      <c r="A22" s="156">
        <v>85</v>
      </c>
      <c r="B22" s="171">
        <v>1.1696</v>
      </c>
      <c r="C22" s="169">
        <v>1.1667000000000001</v>
      </c>
      <c r="D22" s="164">
        <v>1.1638999999999999</v>
      </c>
      <c r="E22" s="166">
        <v>1.1612</v>
      </c>
      <c r="F22" s="162">
        <v>1.1718999999999999</v>
      </c>
      <c r="G22" s="163">
        <v>1.1691</v>
      </c>
      <c r="H22" s="164">
        <v>1.1661999999999999</v>
      </c>
      <c r="I22" s="166">
        <v>1.1634</v>
      </c>
      <c r="J22" s="162">
        <v>1.1740999999999999</v>
      </c>
      <c r="K22" s="163">
        <v>1.1713</v>
      </c>
      <c r="L22" s="164">
        <v>1.1685000000000001</v>
      </c>
      <c r="M22" s="166">
        <v>1.1657</v>
      </c>
      <c r="N22" s="162"/>
      <c r="O22" s="163"/>
      <c r="P22" s="164"/>
      <c r="Q22" s="166"/>
    </row>
    <row r="23" spans="1:17">
      <c r="A23" s="156">
        <v>90</v>
      </c>
      <c r="B23" s="171">
        <v>1.1687000000000001</v>
      </c>
      <c r="C23" s="169">
        <v>1.657</v>
      </c>
      <c r="D23" s="164">
        <v>1.1628000000000001</v>
      </c>
      <c r="E23" s="166">
        <v>1.1597999999999999</v>
      </c>
      <c r="F23" s="162">
        <v>1.171</v>
      </c>
      <c r="G23" s="163">
        <v>1.1680999999999999</v>
      </c>
      <c r="H23" s="164">
        <v>1.1654</v>
      </c>
      <c r="I23" s="166">
        <v>1.1621999999999999</v>
      </c>
      <c r="J23" s="162">
        <v>1.1735</v>
      </c>
      <c r="K23" s="163">
        <v>1.1705000000000001</v>
      </c>
      <c r="L23" s="164">
        <v>1.1676</v>
      </c>
      <c r="M23" s="166">
        <v>1.1646000000000001</v>
      </c>
      <c r="N23" s="162"/>
      <c r="O23" s="163"/>
      <c r="P23" s="164"/>
      <c r="Q23" s="166"/>
    </row>
    <row r="24" spans="1:17">
      <c r="A24" s="156">
        <v>95</v>
      </c>
      <c r="B24" s="171">
        <v>1.1677</v>
      </c>
      <c r="C24" s="169">
        <v>1.1648000000000001</v>
      </c>
      <c r="D24" s="164">
        <v>1.1617999999999999</v>
      </c>
      <c r="E24" s="166">
        <v>1.1589</v>
      </c>
      <c r="F24" s="162">
        <v>1.1701999999999999</v>
      </c>
      <c r="G24" s="163">
        <v>1.1672</v>
      </c>
      <c r="H24" s="164">
        <v>1.1642999999999999</v>
      </c>
      <c r="I24" s="166">
        <v>1.1613</v>
      </c>
      <c r="J24" s="162">
        <v>1.1725000000000001</v>
      </c>
      <c r="K24" s="163">
        <v>1.1696</v>
      </c>
      <c r="L24" s="164">
        <v>1.1666000000000001</v>
      </c>
      <c r="M24" s="166">
        <v>1.1637</v>
      </c>
      <c r="N24" s="162"/>
      <c r="O24" s="163"/>
      <c r="P24" s="164"/>
      <c r="Q24" s="166"/>
    </row>
    <row r="25" spans="1:17">
      <c r="A25" s="156">
        <v>100</v>
      </c>
      <c r="B25" s="171">
        <v>1.1660999999999999</v>
      </c>
      <c r="C25" s="169">
        <v>1.1632</v>
      </c>
      <c r="D25" s="164">
        <v>1.1601999999999999</v>
      </c>
      <c r="E25" s="166">
        <v>1.1573</v>
      </c>
      <c r="F25" s="162">
        <v>1.1685000000000001</v>
      </c>
      <c r="G25" s="163">
        <v>1.1656</v>
      </c>
      <c r="H25" s="164">
        <v>1.1527000000000001</v>
      </c>
      <c r="I25" s="166">
        <v>1.1597</v>
      </c>
      <c r="J25" s="162">
        <v>1.1709000000000001</v>
      </c>
      <c r="K25" s="163">
        <v>1.1679999999999999</v>
      </c>
      <c r="L25" s="164">
        <v>1.165</v>
      </c>
      <c r="M25" s="166">
        <v>1.1620999999999999</v>
      </c>
      <c r="N25" s="162"/>
      <c r="O25" s="163"/>
      <c r="P25" s="164"/>
      <c r="Q25" s="166"/>
    </row>
    <row r="26" spans="1:17">
      <c r="A26" s="156">
        <v>105</v>
      </c>
      <c r="B26" s="171">
        <v>1.1657</v>
      </c>
      <c r="C26" s="169">
        <v>1.1628000000000001</v>
      </c>
      <c r="D26" s="164">
        <v>1.1597999999999999</v>
      </c>
      <c r="E26" s="166">
        <v>1.1569</v>
      </c>
      <c r="F26" s="162">
        <v>1.1680999999999999</v>
      </c>
      <c r="G26" s="163">
        <v>1.1651</v>
      </c>
      <c r="H26" s="164">
        <v>1.1621999999999999</v>
      </c>
      <c r="I26" s="166">
        <v>1.1592</v>
      </c>
      <c r="J26" s="162">
        <v>1.1705000000000001</v>
      </c>
      <c r="K26" s="163">
        <v>1.1575</v>
      </c>
      <c r="L26" s="164">
        <v>1.1646000000000001</v>
      </c>
      <c r="M26" s="166">
        <v>1.1617</v>
      </c>
      <c r="N26" s="162"/>
      <c r="O26" s="163"/>
      <c r="P26" s="164"/>
      <c r="Q26" s="166"/>
    </row>
    <row r="27" spans="1:17">
      <c r="A27" s="156">
        <v>110</v>
      </c>
      <c r="B27" s="171">
        <v>1.1646000000000001</v>
      </c>
      <c r="C27" s="169">
        <v>1.1616</v>
      </c>
      <c r="D27" s="164">
        <v>1.1587000000000001</v>
      </c>
      <c r="E27" s="166">
        <v>1.1556999999999999</v>
      </c>
      <c r="F27" s="162">
        <v>1.1669</v>
      </c>
      <c r="G27" s="163">
        <v>1.1640999999999999</v>
      </c>
      <c r="H27" s="164">
        <v>1.1611</v>
      </c>
      <c r="I27" s="166">
        <v>1.1581999999999999</v>
      </c>
      <c r="J27" s="162">
        <v>1.1694</v>
      </c>
      <c r="K27" s="163">
        <v>1.1664000000000001</v>
      </c>
      <c r="L27" s="164">
        <v>1.1635</v>
      </c>
      <c r="M27" s="166">
        <v>1.1605000000000001</v>
      </c>
      <c r="N27" s="162"/>
      <c r="O27" s="163"/>
      <c r="P27" s="164"/>
      <c r="Q27" s="166"/>
    </row>
    <row r="28" spans="1:17">
      <c r="A28" s="156">
        <v>115</v>
      </c>
      <c r="B28" s="171">
        <v>1.1631</v>
      </c>
      <c r="C28" s="169">
        <v>1.1600999999999999</v>
      </c>
      <c r="D28" s="164">
        <v>1.1572</v>
      </c>
      <c r="E28" s="166">
        <v>1.1541999999999999</v>
      </c>
      <c r="F28" s="162">
        <v>1.1654</v>
      </c>
      <c r="G28" s="163">
        <v>1.1626000000000001</v>
      </c>
      <c r="H28" s="164">
        <v>1.5960000000000001</v>
      </c>
      <c r="I28" s="166">
        <v>1.1567000000000001</v>
      </c>
      <c r="J28" s="162">
        <v>1.1678999999999999</v>
      </c>
      <c r="K28" s="163">
        <v>1.1649</v>
      </c>
      <c r="L28" s="164">
        <v>1.1625000000000001</v>
      </c>
      <c r="M28" s="166">
        <v>1.159</v>
      </c>
      <c r="N28" s="162"/>
      <c r="O28" s="163"/>
      <c r="P28" s="164"/>
      <c r="Q28" s="166"/>
    </row>
    <row r="29" spans="1:17">
      <c r="A29" s="156">
        <v>120</v>
      </c>
      <c r="B29" s="171">
        <v>1.1617</v>
      </c>
      <c r="C29" s="169">
        <v>1.1587000000000001</v>
      </c>
      <c r="D29" s="164">
        <v>1.1557999999999999</v>
      </c>
      <c r="E29" s="166">
        <v>1.1528</v>
      </c>
      <c r="F29" s="162">
        <v>1.1640999999999999</v>
      </c>
      <c r="G29" s="163">
        <v>1.1612</v>
      </c>
      <c r="H29" s="164">
        <v>1.1581999999999999</v>
      </c>
      <c r="I29" s="166">
        <v>1.1553</v>
      </c>
      <c r="J29" s="162">
        <v>1.1665000000000001</v>
      </c>
      <c r="K29" s="163">
        <v>1.1635</v>
      </c>
      <c r="L29" s="164">
        <v>1.1606000000000001</v>
      </c>
      <c r="M29" s="166">
        <v>1.1576</v>
      </c>
      <c r="N29" s="162"/>
      <c r="O29" s="163"/>
      <c r="P29" s="164"/>
      <c r="Q29" s="166"/>
    </row>
    <row r="30" spans="1:17">
      <c r="A30" s="156">
        <v>125</v>
      </c>
      <c r="B30" s="171">
        <v>1.1611</v>
      </c>
      <c r="C30" s="169">
        <v>1.1579999999999999</v>
      </c>
      <c r="D30" s="164">
        <v>1.155</v>
      </c>
      <c r="E30" s="166">
        <v>1.1518999999999999</v>
      </c>
      <c r="F30" s="162">
        <v>1.1636</v>
      </c>
      <c r="G30" s="163">
        <v>1.1605000000000001</v>
      </c>
      <c r="H30" s="164">
        <v>1.1574</v>
      </c>
      <c r="I30" s="166">
        <v>1.1544000000000001</v>
      </c>
      <c r="J30" s="162">
        <v>1.1661999999999999</v>
      </c>
      <c r="K30" s="163">
        <v>1.1631</v>
      </c>
      <c r="L30" s="164">
        <v>1.1599999999999999</v>
      </c>
      <c r="M30" s="166">
        <v>1.1569</v>
      </c>
      <c r="N30" s="162"/>
      <c r="O30" s="163"/>
      <c r="P30" s="164"/>
      <c r="Q30" s="166"/>
    </row>
    <row r="31" spans="1:17">
      <c r="A31" s="156">
        <v>130</v>
      </c>
      <c r="B31" s="171">
        <v>1.1608000000000001</v>
      </c>
      <c r="C31" s="169">
        <v>1.1577</v>
      </c>
      <c r="D31" s="164">
        <v>1.1547000000000001</v>
      </c>
      <c r="E31" s="166">
        <v>1.1516</v>
      </c>
      <c r="F31" s="162">
        <v>1.1634</v>
      </c>
      <c r="G31" s="163">
        <v>1.1603000000000001</v>
      </c>
      <c r="H31" s="164">
        <v>1.1571</v>
      </c>
      <c r="I31" s="166">
        <v>1.1541999999999999</v>
      </c>
      <c r="J31" s="162">
        <v>1.1659999999999999</v>
      </c>
      <c r="K31" s="163">
        <v>1.1629</v>
      </c>
      <c r="L31" s="164">
        <v>1.1597999999999999</v>
      </c>
      <c r="M31" s="166">
        <v>1.1567000000000001</v>
      </c>
      <c r="N31" s="162"/>
      <c r="O31" s="163"/>
      <c r="P31" s="164"/>
      <c r="Q31" s="166"/>
    </row>
    <row r="32" spans="1:17">
      <c r="A32" s="156">
        <v>135</v>
      </c>
      <c r="B32" s="171">
        <v>1.1597</v>
      </c>
      <c r="C32" s="169">
        <v>1.1566000000000001</v>
      </c>
      <c r="D32" s="164">
        <v>1.1536</v>
      </c>
      <c r="E32" s="166">
        <v>1.1505000000000001</v>
      </c>
      <c r="F32" s="162">
        <v>1.1621999999999999</v>
      </c>
      <c r="G32" s="163">
        <v>1.1591</v>
      </c>
      <c r="H32" s="164">
        <v>1.1559999999999999</v>
      </c>
      <c r="I32" s="166">
        <v>1.153</v>
      </c>
      <c r="J32" s="162">
        <v>1.1648000000000001</v>
      </c>
      <c r="K32" s="163">
        <v>1.1617</v>
      </c>
      <c r="L32" s="164">
        <v>1.1586000000000001</v>
      </c>
      <c r="M32" s="166">
        <v>1.1555</v>
      </c>
      <c r="N32" s="162"/>
      <c r="O32" s="163"/>
      <c r="P32" s="164"/>
      <c r="Q32" s="166"/>
    </row>
    <row r="33" spans="1:17">
      <c r="A33" s="156">
        <v>140</v>
      </c>
      <c r="B33" s="171">
        <v>1.1586000000000001</v>
      </c>
      <c r="C33" s="169">
        <v>1.1555</v>
      </c>
      <c r="D33" s="164">
        <v>1.1525000000000001</v>
      </c>
      <c r="E33" s="166">
        <v>1.1494</v>
      </c>
      <c r="F33" s="162">
        <v>1.1612</v>
      </c>
      <c r="G33" s="163">
        <v>1.1580999999999999</v>
      </c>
      <c r="H33" s="164">
        <v>1.155</v>
      </c>
      <c r="I33" s="166">
        <v>1.1519999999999999</v>
      </c>
      <c r="J33" s="162">
        <v>1.1637</v>
      </c>
      <c r="K33" s="163">
        <v>1.1606000000000001</v>
      </c>
      <c r="L33" s="164">
        <v>1.1575</v>
      </c>
      <c r="M33" s="166">
        <v>1.1544000000000001</v>
      </c>
      <c r="N33" s="162"/>
      <c r="O33" s="163"/>
      <c r="P33" s="164"/>
      <c r="Q33" s="166"/>
    </row>
    <row r="34" spans="1:17">
      <c r="A34" s="156">
        <v>145</v>
      </c>
      <c r="B34" s="171">
        <v>1.1576</v>
      </c>
      <c r="C34" s="169">
        <v>1.1545000000000001</v>
      </c>
      <c r="D34" s="164">
        <v>1.1514</v>
      </c>
      <c r="E34" s="166">
        <v>1.1484000000000001</v>
      </c>
      <c r="F34" s="162">
        <v>1.1601999999999999</v>
      </c>
      <c r="G34" s="163">
        <v>1.1571</v>
      </c>
      <c r="H34" s="164">
        <v>1.1539999999999999</v>
      </c>
      <c r="I34" s="166">
        <v>1.1509</v>
      </c>
      <c r="J34" s="162">
        <v>1.1627000000000001</v>
      </c>
      <c r="K34" s="163">
        <v>1.1597</v>
      </c>
      <c r="L34" s="164">
        <v>1.1566000000000001</v>
      </c>
      <c r="M34" s="166">
        <v>1.1535</v>
      </c>
      <c r="N34" s="162"/>
      <c r="O34" s="163"/>
      <c r="P34" s="164"/>
      <c r="Q34" s="166"/>
    </row>
    <row r="35" spans="1:17">
      <c r="A35" s="156">
        <v>150</v>
      </c>
      <c r="B35" s="171">
        <v>1.1567000000000001</v>
      </c>
      <c r="C35" s="169">
        <v>1.1536</v>
      </c>
      <c r="D35" s="164">
        <v>1.1506000000000001</v>
      </c>
      <c r="E35" s="166">
        <v>1.1475</v>
      </c>
      <c r="F35" s="162">
        <v>1.1592</v>
      </c>
      <c r="G35" s="163">
        <v>1.1560999999999999</v>
      </c>
      <c r="H35" s="164">
        <v>1.153</v>
      </c>
      <c r="I35" s="166">
        <v>1.1499999999999999</v>
      </c>
      <c r="J35" s="162">
        <v>1.1617999999999999</v>
      </c>
      <c r="K35" s="163">
        <v>1.1587000000000001</v>
      </c>
      <c r="L35" s="164">
        <v>1.1556</v>
      </c>
      <c r="M35" s="166">
        <v>1.1525000000000001</v>
      </c>
      <c r="N35" s="162"/>
      <c r="O35" s="163"/>
      <c r="P35" s="164"/>
      <c r="Q35" s="166"/>
    </row>
    <row r="36" spans="1:17">
      <c r="A36" s="156">
        <v>155</v>
      </c>
      <c r="B36" s="171">
        <v>1.1557999999999999</v>
      </c>
      <c r="C36" s="169">
        <v>1.1527000000000001</v>
      </c>
      <c r="D36" s="164">
        <v>1.1496999999999999</v>
      </c>
      <c r="E36" s="166">
        <v>1.1466000000000001</v>
      </c>
      <c r="F36" s="162">
        <v>1.1584000000000001</v>
      </c>
      <c r="G36" s="163">
        <v>1.1553</v>
      </c>
      <c r="H36" s="164">
        <v>1.1521999999999999</v>
      </c>
      <c r="I36" s="166">
        <v>1.1492</v>
      </c>
      <c r="J36" s="162">
        <v>1.161</v>
      </c>
      <c r="K36" s="163">
        <v>1.1577999999999999</v>
      </c>
      <c r="L36" s="164">
        <v>1.1547000000000001</v>
      </c>
      <c r="M36" s="166">
        <v>1.1516</v>
      </c>
      <c r="N36" s="162"/>
      <c r="O36" s="163"/>
      <c r="P36" s="164"/>
      <c r="Q36" s="166"/>
    </row>
    <row r="37" spans="1:17">
      <c r="A37" s="156">
        <v>160</v>
      </c>
      <c r="B37" s="171">
        <v>1.155</v>
      </c>
      <c r="C37" s="169">
        <v>1.1519999999999999</v>
      </c>
      <c r="D37" s="164">
        <v>1.1489</v>
      </c>
      <c r="E37" s="166">
        <v>1.1457999999999999</v>
      </c>
      <c r="F37" s="162">
        <v>1.1575</v>
      </c>
      <c r="G37" s="163">
        <v>1.1544000000000001</v>
      </c>
      <c r="H37" s="164">
        <v>1.1514</v>
      </c>
      <c r="I37" s="166">
        <v>1.1483000000000001</v>
      </c>
      <c r="J37" s="162">
        <v>1.1600999999999999</v>
      </c>
      <c r="K37" s="163">
        <v>1.157</v>
      </c>
      <c r="L37" s="164">
        <v>1.1538999999999999</v>
      </c>
      <c r="M37" s="166">
        <v>1.1509</v>
      </c>
      <c r="N37" s="162"/>
      <c r="O37" s="163"/>
      <c r="P37" s="164"/>
      <c r="Q37" s="166"/>
    </row>
    <row r="38" spans="1:17">
      <c r="A38" s="156">
        <v>165</v>
      </c>
      <c r="B38" s="171">
        <v>1.1541999999999999</v>
      </c>
      <c r="C38" s="169">
        <v>1.1511</v>
      </c>
      <c r="D38" s="164">
        <v>1.1480999999999999</v>
      </c>
      <c r="E38" s="166">
        <v>1.145</v>
      </c>
      <c r="F38" s="162">
        <v>1.1568000000000001</v>
      </c>
      <c r="G38" s="163">
        <v>1.1536999999999999</v>
      </c>
      <c r="H38" s="164">
        <v>1.1506000000000001</v>
      </c>
      <c r="I38" s="166">
        <v>1.1476</v>
      </c>
      <c r="J38" s="162">
        <v>1.1593</v>
      </c>
      <c r="K38" s="163">
        <v>1.1561999999999999</v>
      </c>
      <c r="L38" s="164">
        <v>1.1531</v>
      </c>
      <c r="M38" s="166">
        <v>1.1499999999999999</v>
      </c>
      <c r="N38" s="162"/>
      <c r="O38" s="163"/>
      <c r="P38" s="164"/>
      <c r="Q38" s="166"/>
    </row>
    <row r="39" spans="1:17">
      <c r="A39" s="156">
        <v>170</v>
      </c>
      <c r="B39" s="171">
        <v>1.1535</v>
      </c>
      <c r="C39" s="169">
        <v>1.1505000000000001</v>
      </c>
      <c r="D39" s="164">
        <v>1.1474</v>
      </c>
      <c r="E39" s="166">
        <v>1.1443000000000001</v>
      </c>
      <c r="F39" s="162">
        <v>1.1559999999999999</v>
      </c>
      <c r="G39" s="163">
        <v>1.1529</v>
      </c>
      <c r="H39" s="164">
        <v>1.1498999999999999</v>
      </c>
      <c r="I39" s="166">
        <v>1.1468</v>
      </c>
      <c r="J39" s="162">
        <v>1.1586000000000001</v>
      </c>
      <c r="K39" s="163">
        <v>1.1555</v>
      </c>
      <c r="L39" s="164">
        <v>1.1524000000000001</v>
      </c>
      <c r="M39" s="166">
        <v>1.1494</v>
      </c>
      <c r="N39" s="162"/>
      <c r="O39" s="163"/>
      <c r="P39" s="164"/>
      <c r="Q39" s="166"/>
    </row>
    <row r="40" spans="1:17">
      <c r="A40" s="156">
        <v>175</v>
      </c>
      <c r="B40" s="171">
        <v>1.1528</v>
      </c>
      <c r="C40" s="169">
        <v>1.1496999999999999</v>
      </c>
      <c r="D40" s="164">
        <v>1.1467000000000001</v>
      </c>
      <c r="E40" s="166">
        <v>1.1435999999999999</v>
      </c>
      <c r="F40" s="162">
        <v>1.1554</v>
      </c>
      <c r="G40" s="163">
        <v>1.1523000000000001</v>
      </c>
      <c r="H40" s="164">
        <v>1.1492</v>
      </c>
      <c r="I40" s="166">
        <v>1.1462000000000001</v>
      </c>
      <c r="J40" s="162">
        <v>1.1579999999999999</v>
      </c>
      <c r="K40" s="163">
        <v>1.1549</v>
      </c>
      <c r="L40" s="164">
        <v>1.1516999999999999</v>
      </c>
      <c r="M40" s="166">
        <v>1.1486000000000001</v>
      </c>
      <c r="N40" s="162"/>
      <c r="O40" s="163"/>
      <c r="P40" s="164"/>
      <c r="Q40" s="166"/>
    </row>
    <row r="41" spans="1:17">
      <c r="A41" s="156">
        <v>180</v>
      </c>
      <c r="B41" s="171">
        <v>1.1521999999999999</v>
      </c>
      <c r="C41" s="169">
        <v>1.1491</v>
      </c>
      <c r="D41" s="164">
        <v>1.1460999999999999</v>
      </c>
      <c r="E41" s="166">
        <v>1.143</v>
      </c>
      <c r="F41" s="162">
        <v>1.1547000000000001</v>
      </c>
      <c r="G41" s="163">
        <v>1.1516</v>
      </c>
      <c r="H41" s="164">
        <v>1.1485000000000001</v>
      </c>
      <c r="I41" s="166">
        <v>1.1455</v>
      </c>
      <c r="J41" s="162">
        <v>1.1573</v>
      </c>
      <c r="K41" s="163">
        <v>1.1541999999999999</v>
      </c>
      <c r="L41" s="164">
        <v>1.1511</v>
      </c>
      <c r="M41" s="166">
        <v>1.1479999999999999</v>
      </c>
      <c r="N41" s="162"/>
      <c r="O41" s="163"/>
      <c r="P41" s="164"/>
      <c r="Q41" s="166"/>
    </row>
    <row r="42" spans="1:17">
      <c r="A42" s="156">
        <v>185</v>
      </c>
      <c r="B42" s="171">
        <v>1.1515</v>
      </c>
      <c r="C42" s="169">
        <v>1.1485000000000001</v>
      </c>
      <c r="D42" s="164">
        <v>1.1454</v>
      </c>
      <c r="E42" s="166">
        <v>1.1423000000000001</v>
      </c>
      <c r="F42" s="162">
        <v>1.1540999999999999</v>
      </c>
      <c r="G42" s="163">
        <v>1.151</v>
      </c>
      <c r="H42" s="164">
        <v>1.1479999999999999</v>
      </c>
      <c r="I42" s="166">
        <v>1.1449</v>
      </c>
      <c r="J42" s="162">
        <v>1.1567000000000001</v>
      </c>
      <c r="K42" s="163">
        <v>1.1536</v>
      </c>
      <c r="L42" s="164">
        <v>1.1505000000000001</v>
      </c>
      <c r="M42" s="166">
        <v>1.1475</v>
      </c>
      <c r="N42" s="162"/>
      <c r="O42" s="163"/>
      <c r="P42" s="164"/>
      <c r="Q42" s="166"/>
    </row>
    <row r="43" spans="1:17">
      <c r="A43" s="156">
        <v>190</v>
      </c>
      <c r="B43" s="171">
        <v>1.151</v>
      </c>
      <c r="C43" s="169">
        <v>1.1478999999999999</v>
      </c>
      <c r="D43" s="164">
        <v>1.1448</v>
      </c>
      <c r="E43" s="166">
        <v>1.1417999999999999</v>
      </c>
      <c r="F43" s="162">
        <v>1.1536</v>
      </c>
      <c r="G43" s="163">
        <v>1.1505000000000001</v>
      </c>
      <c r="H43" s="164">
        <v>1.1474</v>
      </c>
      <c r="I43" s="166">
        <v>1.1443000000000001</v>
      </c>
      <c r="J43" s="162">
        <v>1.1559999999999999</v>
      </c>
      <c r="K43" s="163">
        <v>1.1579999999999999</v>
      </c>
      <c r="L43" s="164">
        <v>1.1498999999999999</v>
      </c>
      <c r="M43" s="166">
        <v>1.1469</v>
      </c>
      <c r="N43" s="162"/>
      <c r="O43" s="163"/>
      <c r="P43" s="164"/>
      <c r="Q43" s="166"/>
    </row>
    <row r="44" spans="1:17">
      <c r="A44" s="156">
        <v>195</v>
      </c>
      <c r="B44" s="171">
        <v>1.1505000000000001</v>
      </c>
      <c r="C44" s="169">
        <v>1.1474</v>
      </c>
      <c r="D44" s="164">
        <v>1.1443000000000001</v>
      </c>
      <c r="E44" s="166">
        <v>1.1413</v>
      </c>
      <c r="F44" s="162">
        <v>1.153</v>
      </c>
      <c r="G44" s="163">
        <v>1.1498999999999999</v>
      </c>
      <c r="H44" s="164">
        <v>1.1468</v>
      </c>
      <c r="I44" s="166">
        <v>1.1436999999999999</v>
      </c>
      <c r="J44" s="162">
        <v>1.1555</v>
      </c>
      <c r="K44" s="163">
        <v>1.1525000000000001</v>
      </c>
      <c r="L44" s="164">
        <v>1.1494</v>
      </c>
      <c r="M44" s="166">
        <v>1.1463000000000001</v>
      </c>
      <c r="N44" s="162"/>
      <c r="O44" s="163"/>
      <c r="P44" s="164"/>
      <c r="Q44" s="166"/>
    </row>
    <row r="45" spans="1:17" ht="24.75" thickBot="1">
      <c r="A45" s="156" t="s">
        <v>110</v>
      </c>
      <c r="B45" s="175">
        <v>1.1498999999999999</v>
      </c>
      <c r="C45" s="176">
        <v>1.1468</v>
      </c>
      <c r="D45" s="165">
        <v>1.1437999999999999</v>
      </c>
      <c r="E45" s="177">
        <v>1.1407</v>
      </c>
      <c r="F45" s="173">
        <v>1.1525000000000001</v>
      </c>
      <c r="G45" s="174">
        <v>1.1494</v>
      </c>
      <c r="H45" s="165">
        <v>1.1463000000000001</v>
      </c>
      <c r="I45" s="177">
        <v>1.1433</v>
      </c>
      <c r="J45" s="173">
        <v>1.1551</v>
      </c>
      <c r="K45" s="174">
        <v>1.1519999999999999</v>
      </c>
      <c r="L45" s="165">
        <v>1.1489</v>
      </c>
      <c r="M45" s="177">
        <v>1.1457999999999999</v>
      </c>
      <c r="N45" s="173"/>
      <c r="O45" s="174"/>
      <c r="P45" s="165"/>
      <c r="Q45" s="177"/>
    </row>
    <row r="46" spans="1:17" ht="24.75" thickTop="1"/>
  </sheetData>
  <mergeCells count="8">
    <mergeCell ref="B2:E2"/>
    <mergeCell ref="F2:I2"/>
    <mergeCell ref="J2:M2"/>
    <mergeCell ref="N2:Q2"/>
    <mergeCell ref="B3:E3"/>
    <mergeCell ref="F3:I3"/>
    <mergeCell ref="J3:M3"/>
    <mergeCell ref="N3:Q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G21" sqref="G21"/>
    </sheetView>
  </sheetViews>
  <sheetFormatPr defaultRowHeight="21.75"/>
  <cols>
    <col min="2" max="4" width="17.140625" customWidth="1"/>
    <col min="5" max="5" width="16.28515625" customWidth="1"/>
    <col min="6" max="6" width="14.7109375" customWidth="1"/>
  </cols>
  <sheetData>
    <row r="1" spans="1:6">
      <c r="E1" s="78">
        <v>23253000</v>
      </c>
    </row>
    <row r="2" spans="1:6">
      <c r="B2" s="71" t="s">
        <v>76</v>
      </c>
      <c r="C2" s="71" t="s">
        <v>22</v>
      </c>
      <c r="D2" s="71" t="s">
        <v>77</v>
      </c>
      <c r="E2" t="s">
        <v>74</v>
      </c>
      <c r="F2" t="s">
        <v>75</v>
      </c>
    </row>
    <row r="3" spans="1:6">
      <c r="A3">
        <v>1</v>
      </c>
      <c r="B3" s="72">
        <f>1.2352*1000000</f>
        <v>1235200</v>
      </c>
      <c r="C3" s="72">
        <v>650000</v>
      </c>
      <c r="D3" s="72">
        <f>+C3+B3</f>
        <v>1885200</v>
      </c>
      <c r="E3" s="75">
        <f>+D3/$E$1</f>
        <v>8.1073409882595787E-2</v>
      </c>
      <c r="F3" s="76">
        <v>0.1</v>
      </c>
    </row>
    <row r="4" spans="1:6">
      <c r="A4">
        <v>2</v>
      </c>
      <c r="B4" s="72">
        <f>2100000*1.2352</f>
        <v>2593920</v>
      </c>
      <c r="C4" s="72">
        <v>650000</v>
      </c>
      <c r="D4" s="72">
        <f t="shared" ref="D4:D16" si="0">+C4+B4</f>
        <v>3243920</v>
      </c>
      <c r="E4" s="75">
        <f t="shared" ref="E4:E15" si="1">+D4/$E$1</f>
        <v>0.13950544015825914</v>
      </c>
      <c r="F4" s="76">
        <v>0.1</v>
      </c>
    </row>
    <row r="5" spans="1:6">
      <c r="A5">
        <v>3</v>
      </c>
      <c r="B5" s="72">
        <f>1.2352*850000</f>
        <v>1049920</v>
      </c>
      <c r="C5" s="72">
        <v>400000</v>
      </c>
      <c r="D5" s="72">
        <f t="shared" si="0"/>
        <v>1449920</v>
      </c>
      <c r="E5" s="75">
        <f t="shared" si="1"/>
        <v>6.2354104846686451E-2</v>
      </c>
      <c r="F5" s="76">
        <v>0.08</v>
      </c>
    </row>
    <row r="6" spans="1:6">
      <c r="A6">
        <v>4</v>
      </c>
      <c r="B6" s="72">
        <f>1.2352*1250000</f>
        <v>1544000</v>
      </c>
      <c r="C6" s="72">
        <v>400000</v>
      </c>
      <c r="D6" s="72">
        <f t="shared" si="0"/>
        <v>1944000</v>
      </c>
      <c r="E6" s="75">
        <f t="shared" si="1"/>
        <v>8.360211585601858E-2</v>
      </c>
      <c r="F6" s="76">
        <v>0.08</v>
      </c>
    </row>
    <row r="7" spans="1:6">
      <c r="A7">
        <v>5</v>
      </c>
      <c r="B7" s="72">
        <f>1.2352*1250000</f>
        <v>1544000</v>
      </c>
      <c r="C7" s="72">
        <v>400000</v>
      </c>
      <c r="D7" s="72">
        <f t="shared" si="0"/>
        <v>1944000</v>
      </c>
      <c r="E7" s="75">
        <f t="shared" si="1"/>
        <v>8.360211585601858E-2</v>
      </c>
      <c r="F7" s="76">
        <v>0.08</v>
      </c>
    </row>
    <row r="8" spans="1:6">
      <c r="A8">
        <v>6</v>
      </c>
      <c r="B8" s="72">
        <f>1.2352*1300000</f>
        <v>1605760</v>
      </c>
      <c r="C8" s="72">
        <v>400000</v>
      </c>
      <c r="D8" s="72">
        <f t="shared" si="0"/>
        <v>2005760</v>
      </c>
      <c r="E8" s="75">
        <f t="shared" si="1"/>
        <v>8.62581172321851E-2</v>
      </c>
      <c r="F8" s="76">
        <v>0.08</v>
      </c>
    </row>
    <row r="9" spans="1:6">
      <c r="A9">
        <v>7</v>
      </c>
      <c r="B9" s="72">
        <f>1.2352*800000</f>
        <v>988160.00000000012</v>
      </c>
      <c r="C9" s="72">
        <v>400000</v>
      </c>
      <c r="D9" s="72">
        <f t="shared" si="0"/>
        <v>1388160</v>
      </c>
      <c r="E9" s="75">
        <f t="shared" si="1"/>
        <v>5.9698103470519931E-2</v>
      </c>
      <c r="F9" s="76">
        <v>0.06</v>
      </c>
    </row>
    <row r="10" spans="1:6">
      <c r="A10">
        <v>8</v>
      </c>
      <c r="B10" s="72">
        <f>1.2352*400000</f>
        <v>494080.00000000006</v>
      </c>
      <c r="C10" s="72">
        <v>400000</v>
      </c>
      <c r="D10" s="72">
        <f t="shared" si="0"/>
        <v>894080</v>
      </c>
      <c r="E10" s="75">
        <f t="shared" si="1"/>
        <v>3.8450092461187801E-2</v>
      </c>
      <c r="F10" s="76">
        <v>0.04</v>
      </c>
    </row>
    <row r="11" spans="1:6">
      <c r="A11">
        <v>9</v>
      </c>
      <c r="B11" s="72">
        <f>1.2352*400000</f>
        <v>494080.00000000006</v>
      </c>
      <c r="C11" s="72">
        <v>300000</v>
      </c>
      <c r="D11" s="72">
        <f t="shared" si="0"/>
        <v>794080</v>
      </c>
      <c r="E11" s="75">
        <f t="shared" si="1"/>
        <v>3.4149572098223883E-2</v>
      </c>
      <c r="F11" s="76">
        <v>0.04</v>
      </c>
    </row>
    <row r="12" spans="1:6">
      <c r="A12">
        <v>10</v>
      </c>
      <c r="B12" s="72">
        <f>1.2352*1350000</f>
        <v>1667520</v>
      </c>
      <c r="C12" s="72">
        <v>300000</v>
      </c>
      <c r="D12" s="72">
        <f t="shared" si="0"/>
        <v>1967520</v>
      </c>
      <c r="E12" s="75">
        <f t="shared" si="1"/>
        <v>8.4613598245387694E-2</v>
      </c>
      <c r="F12" s="76">
        <v>0.08</v>
      </c>
    </row>
    <row r="13" spans="1:6">
      <c r="A13">
        <v>11</v>
      </c>
      <c r="B13" s="72">
        <f>1.2352*1350000</f>
        <v>1667520</v>
      </c>
      <c r="C13" s="72">
        <v>300000</v>
      </c>
      <c r="D13" s="72">
        <f t="shared" si="0"/>
        <v>1967520</v>
      </c>
      <c r="E13" s="75">
        <f t="shared" si="1"/>
        <v>8.4613598245387694E-2</v>
      </c>
      <c r="F13" s="76">
        <v>0.08</v>
      </c>
    </row>
    <row r="14" spans="1:6">
      <c r="A14">
        <v>12</v>
      </c>
      <c r="B14" s="72">
        <f>1.2352*1580000</f>
        <v>1951616.0000000002</v>
      </c>
      <c r="C14" s="72">
        <v>300000</v>
      </c>
      <c r="D14" s="72">
        <f t="shared" si="0"/>
        <v>2251616</v>
      </c>
      <c r="E14" s="75">
        <f t="shared" si="1"/>
        <v>9.6831204575753671E-2</v>
      </c>
      <c r="F14" s="76">
        <v>0.08</v>
      </c>
    </row>
    <row r="15" spans="1:6">
      <c r="A15">
        <v>13</v>
      </c>
      <c r="B15" s="72">
        <f>1.2352*1000000</f>
        <v>1235200</v>
      </c>
      <c r="C15" s="72">
        <v>300000</v>
      </c>
      <c r="D15" s="72">
        <f t="shared" si="0"/>
        <v>1535200</v>
      </c>
      <c r="E15" s="75">
        <f t="shared" si="1"/>
        <v>6.6021588612222085E-2</v>
      </c>
      <c r="F15" s="76">
        <v>0.1</v>
      </c>
    </row>
    <row r="16" spans="1:6" ht="26.25">
      <c r="B16" s="73">
        <f>SUM(B3:B15)</f>
        <v>18070976</v>
      </c>
      <c r="C16" s="73">
        <f>SUM(C3:C15)</f>
        <v>5200000</v>
      </c>
      <c r="D16" s="72">
        <f t="shared" si="0"/>
        <v>23270976</v>
      </c>
      <c r="E16" s="74">
        <f>SUM(E3:E15)</f>
        <v>1.0007730615404464</v>
      </c>
      <c r="F16" s="77">
        <f>SUM(F3:F15)</f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6"/>
  <sheetViews>
    <sheetView tabSelected="1" view="pageBreakPreview" topLeftCell="A10" zoomScale="85" zoomScaleNormal="100" zoomScaleSheetLayoutView="85" workbookViewId="0">
      <selection activeCell="K22" sqref="K22"/>
    </sheetView>
  </sheetViews>
  <sheetFormatPr defaultColWidth="9.140625" defaultRowHeight="18.75"/>
  <cols>
    <col min="1" max="1" width="10.42578125" style="469" customWidth="1"/>
    <col min="2" max="2" width="56.42578125" style="10" customWidth="1"/>
    <col min="3" max="3" width="8.5703125" style="10" customWidth="1"/>
    <col min="4" max="4" width="7" style="10" customWidth="1"/>
    <col min="5" max="8" width="11.7109375" style="10" customWidth="1"/>
    <col min="9" max="9" width="13.140625" style="10" customWidth="1"/>
    <col min="10" max="10" width="8.85546875" style="10" customWidth="1"/>
    <col min="11" max="11" width="12" style="10" customWidth="1"/>
    <col min="12" max="12" width="13.85546875" style="8" bestFit="1" customWidth="1"/>
    <col min="13" max="14" width="13.85546875" style="10" bestFit="1" customWidth="1"/>
    <col min="15" max="16384" width="9.140625" style="10"/>
  </cols>
  <sheetData>
    <row r="1" spans="1:12" s="8" customFormat="1">
      <c r="A1" s="645" t="s">
        <v>88</v>
      </c>
      <c r="B1" s="645"/>
      <c r="C1" s="645"/>
      <c r="D1" s="645"/>
      <c r="E1" s="645"/>
      <c r="F1" s="645"/>
      <c r="G1" s="645"/>
      <c r="H1" s="645"/>
      <c r="I1" s="645"/>
      <c r="J1" s="645"/>
    </row>
    <row r="2" spans="1:12" s="66" customFormat="1">
      <c r="A2" s="64" t="s">
        <v>86</v>
      </c>
      <c r="B2" s="62" t="str">
        <f>'ใบสรุปแบบ ปร.5 (ก) '!B2</f>
        <v>งานอาคาร</v>
      </c>
      <c r="C2" s="65" t="s">
        <v>14</v>
      </c>
      <c r="D2" s="62" t="str">
        <f>+'แบบ ปร.6'!B4</f>
        <v>62-2-101,63-5-006,62-4-030</v>
      </c>
      <c r="E2" s="63"/>
      <c r="F2" s="62"/>
      <c r="G2" s="62"/>
      <c r="H2" s="65"/>
      <c r="I2" s="63"/>
      <c r="J2" s="63"/>
    </row>
    <row r="3" spans="1:12" s="8" customFormat="1">
      <c r="A3" s="64" t="s">
        <v>87</v>
      </c>
      <c r="B3" s="62" t="str">
        <f>+'แบบ ปร.6'!B2</f>
        <v>งานจ้างก่อสร้างอาคารพักนายทหารประทวนโสด (NCOQ) พร้อมสิ่งอำนวยความสะดวก ของ สอ.รฝ. จำนวน 2 หลัง</v>
      </c>
      <c r="E3" s="100"/>
      <c r="F3" s="62"/>
      <c r="G3" s="62"/>
      <c r="H3" s="63"/>
      <c r="I3" s="63"/>
      <c r="J3" s="62"/>
    </row>
    <row r="4" spans="1:12" s="66" customFormat="1">
      <c r="A4" s="64" t="s">
        <v>81</v>
      </c>
      <c r="B4" s="62" t="str">
        <f>+'แบบ ปร.6'!B3</f>
        <v>จ.ชลบุรี</v>
      </c>
      <c r="C4" s="62" t="s">
        <v>84</v>
      </c>
      <c r="D4" s="62"/>
      <c r="F4" s="63"/>
      <c r="G4" s="63"/>
      <c r="H4" s="63"/>
      <c r="I4" s="63"/>
      <c r="J4" s="63"/>
    </row>
    <row r="5" spans="1:12" s="66" customFormat="1" ht="19.5" thickBot="1">
      <c r="A5" s="408"/>
      <c r="B5" s="125"/>
      <c r="C5" s="125"/>
      <c r="D5" s="125"/>
      <c r="E5" s="125"/>
      <c r="F5" s="125"/>
      <c r="G5" s="125"/>
      <c r="H5" s="125"/>
      <c r="I5" s="126"/>
      <c r="J5" s="126"/>
    </row>
    <row r="6" spans="1:12" ht="19.5" thickTop="1">
      <c r="A6" s="121" t="s">
        <v>89</v>
      </c>
      <c r="B6" s="121" t="s">
        <v>1</v>
      </c>
      <c r="C6" s="122" t="s">
        <v>2</v>
      </c>
      <c r="D6" s="123" t="s">
        <v>3</v>
      </c>
      <c r="E6" s="646" t="s">
        <v>68</v>
      </c>
      <c r="F6" s="647"/>
      <c r="G6" s="646" t="s">
        <v>67</v>
      </c>
      <c r="H6" s="647"/>
      <c r="I6" s="53" t="s">
        <v>66</v>
      </c>
      <c r="J6" s="79" t="s">
        <v>8</v>
      </c>
    </row>
    <row r="7" spans="1:12" ht="19.5" thickBot="1">
      <c r="A7" s="409"/>
      <c r="B7" s="130"/>
      <c r="C7" s="131"/>
      <c r="D7" s="130"/>
      <c r="E7" s="132" t="s">
        <v>4</v>
      </c>
      <c r="F7" s="132" t="s">
        <v>5</v>
      </c>
      <c r="G7" s="132" t="s">
        <v>4</v>
      </c>
      <c r="H7" s="133" t="s">
        <v>5</v>
      </c>
      <c r="I7" s="134" t="s">
        <v>79</v>
      </c>
      <c r="J7" s="135"/>
      <c r="K7" s="61"/>
    </row>
    <row r="8" spans="1:12" ht="19.5" thickTop="1">
      <c r="A8" s="410"/>
      <c r="B8" s="411" t="s">
        <v>657</v>
      </c>
      <c r="C8" s="68"/>
      <c r="D8" s="69"/>
      <c r="E8" s="566"/>
      <c r="F8" s="566"/>
      <c r="G8" s="566"/>
      <c r="H8" s="567"/>
      <c r="I8" s="567"/>
      <c r="J8" s="69"/>
    </row>
    <row r="9" spans="1:12">
      <c r="A9" s="412"/>
      <c r="B9" s="522" t="s">
        <v>640</v>
      </c>
      <c r="C9" s="57"/>
      <c r="D9" s="57"/>
      <c r="E9" s="81"/>
      <c r="F9" s="81"/>
      <c r="G9" s="81"/>
      <c r="H9" s="81"/>
      <c r="I9" s="416"/>
      <c r="J9" s="55"/>
    </row>
    <row r="10" spans="1:12" s="28" customFormat="1">
      <c r="A10" s="412"/>
      <c r="B10" s="569" t="s">
        <v>641</v>
      </c>
      <c r="C10" s="55"/>
      <c r="D10" s="55"/>
      <c r="E10" s="519"/>
      <c r="F10" s="519"/>
      <c r="G10" s="519"/>
      <c r="H10" s="519"/>
      <c r="I10" s="519"/>
      <c r="J10" s="55"/>
      <c r="L10" s="27"/>
    </row>
    <row r="11" spans="1:12" s="28" customFormat="1">
      <c r="A11" s="412"/>
      <c r="B11" s="55" t="s">
        <v>642</v>
      </c>
      <c r="C11" s="190">
        <v>1</v>
      </c>
      <c r="D11" s="190" t="s">
        <v>514</v>
      </c>
      <c r="E11" s="423">
        <v>292859</v>
      </c>
      <c r="F11" s="423">
        <f>SUM(E11*C11)</f>
        <v>292859</v>
      </c>
      <c r="G11" s="207" t="s">
        <v>260</v>
      </c>
      <c r="H11" s="207" t="s">
        <v>260</v>
      </c>
      <c r="I11" s="420">
        <f>SUM(F11)</f>
        <v>292859</v>
      </c>
      <c r="J11" s="55"/>
      <c r="K11" s="453">
        <v>418370</v>
      </c>
      <c r="L11" s="628">
        <v>0.3</v>
      </c>
    </row>
    <row r="12" spans="1:12" s="28" customFormat="1">
      <c r="A12" s="412"/>
      <c r="B12" s="55" t="s">
        <v>643</v>
      </c>
      <c r="C12" s="55"/>
      <c r="D12" s="55"/>
      <c r="E12" s="519"/>
      <c r="F12" s="519"/>
      <c r="G12" s="519"/>
      <c r="H12" s="519"/>
      <c r="I12" s="519"/>
      <c r="J12" s="55"/>
      <c r="L12" s="27"/>
    </row>
    <row r="13" spans="1:12">
      <c r="A13" s="412"/>
      <c r="B13" s="569" t="s">
        <v>644</v>
      </c>
      <c r="C13" s="82"/>
      <c r="D13" s="57"/>
      <c r="E13" s="81"/>
      <c r="F13" s="415"/>
      <c r="G13" s="447"/>
      <c r="H13" s="447"/>
      <c r="I13" s="416"/>
      <c r="J13" s="55"/>
    </row>
    <row r="14" spans="1:12">
      <c r="A14" s="412"/>
      <c r="B14" s="56" t="s">
        <v>645</v>
      </c>
      <c r="C14" s="190">
        <v>1</v>
      </c>
      <c r="D14" s="190" t="s">
        <v>119</v>
      </c>
      <c r="E14" s="423">
        <v>98812</v>
      </c>
      <c r="F14" s="423">
        <f>SUM(E14*C14)</f>
        <v>98812</v>
      </c>
      <c r="G14" s="207" t="s">
        <v>260</v>
      </c>
      <c r="H14" s="207" t="s">
        <v>260</v>
      </c>
      <c r="I14" s="420">
        <f>SUM(F14)</f>
        <v>98812</v>
      </c>
      <c r="J14" s="55"/>
      <c r="K14" s="10">
        <f>SUM('[1]แบบ ปร.4_ประปา'!L103)</f>
        <v>0</v>
      </c>
    </row>
    <row r="15" spans="1:12">
      <c r="A15" s="412"/>
      <c r="B15" s="496" t="s">
        <v>646</v>
      </c>
      <c r="C15" s="82"/>
      <c r="D15" s="57"/>
      <c r="E15" s="81"/>
      <c r="F15" s="415"/>
      <c r="G15" s="447"/>
      <c r="H15" s="447"/>
      <c r="I15" s="416"/>
      <c r="J15" s="55"/>
    </row>
    <row r="16" spans="1:12">
      <c r="A16" s="412"/>
      <c r="B16" s="56" t="s">
        <v>647</v>
      </c>
      <c r="C16" s="82"/>
      <c r="D16" s="57"/>
      <c r="E16" s="81"/>
      <c r="F16" s="415"/>
      <c r="G16" s="447"/>
      <c r="H16" s="447"/>
      <c r="I16" s="416"/>
      <c r="J16" s="55"/>
    </row>
    <row r="17" spans="1:12">
      <c r="A17" s="412"/>
      <c r="B17" s="56" t="s">
        <v>648</v>
      </c>
      <c r="C17" s="82"/>
      <c r="D17" s="57"/>
      <c r="E17" s="81"/>
      <c r="F17" s="415"/>
      <c r="G17" s="447"/>
      <c r="H17" s="447"/>
      <c r="I17" s="416"/>
      <c r="J17" s="55"/>
    </row>
    <row r="18" spans="1:12">
      <c r="A18" s="412"/>
      <c r="B18" s="56" t="s">
        <v>649</v>
      </c>
      <c r="C18" s="57"/>
      <c r="D18" s="57"/>
      <c r="E18" s="81"/>
      <c r="F18" s="415"/>
      <c r="G18" s="447"/>
      <c r="H18" s="447"/>
      <c r="I18" s="416"/>
      <c r="J18" s="55"/>
    </row>
    <row r="19" spans="1:12" s="28" customFormat="1">
      <c r="A19" s="412"/>
      <c r="B19" s="56" t="s">
        <v>650</v>
      </c>
      <c r="C19" s="86"/>
      <c r="D19" s="57"/>
      <c r="E19" s="81"/>
      <c r="F19" s="415"/>
      <c r="G19" s="447"/>
      <c r="H19" s="447"/>
      <c r="I19" s="416"/>
      <c r="J19" s="55"/>
      <c r="L19" s="27"/>
    </row>
    <row r="20" spans="1:12">
      <c r="A20" s="412"/>
      <c r="B20" s="57" t="s">
        <v>18</v>
      </c>
      <c r="C20" s="86"/>
      <c r="D20" s="57"/>
      <c r="E20" s="81"/>
      <c r="F20" s="433">
        <f>SUM(F8:F19)</f>
        <v>391671</v>
      </c>
      <c r="G20" s="434"/>
      <c r="H20" s="433">
        <f>SUM(H8:H19)</f>
        <v>0</v>
      </c>
      <c r="I20" s="416"/>
      <c r="J20" s="55"/>
    </row>
    <row r="21" spans="1:12">
      <c r="A21" s="412"/>
      <c r="B21" s="412" t="s">
        <v>80</v>
      </c>
      <c r="C21" s="86"/>
      <c r="D21" s="57"/>
      <c r="E21" s="81"/>
      <c r="F21" s="415"/>
      <c r="G21" s="434"/>
      <c r="H21" s="435"/>
      <c r="I21" s="436">
        <f>SUM(I8:I20)</f>
        <v>391671</v>
      </c>
      <c r="J21" s="55"/>
    </row>
    <row r="22" spans="1:12">
      <c r="A22" s="57"/>
      <c r="B22" s="56" t="s">
        <v>651</v>
      </c>
      <c r="C22" s="86">
        <v>1</v>
      </c>
      <c r="D22" s="57" t="s">
        <v>297</v>
      </c>
      <c r="E22" s="415">
        <f>+F20</f>
        <v>391671</v>
      </c>
      <c r="F22" s="415">
        <f>+E22*C22</f>
        <v>391671</v>
      </c>
      <c r="G22" s="447">
        <f>+H20</f>
        <v>0</v>
      </c>
      <c r="H22" s="447">
        <f>+G22*C22</f>
        <v>0</v>
      </c>
      <c r="I22" s="415">
        <f>+H22+F22</f>
        <v>391671</v>
      </c>
      <c r="J22" s="55"/>
      <c r="K22" s="461">
        <f>+G22+E22</f>
        <v>391671</v>
      </c>
      <c r="L22" s="10"/>
    </row>
    <row r="23" spans="1:12">
      <c r="A23" s="57"/>
      <c r="B23" s="56" t="s">
        <v>651</v>
      </c>
      <c r="C23" s="86">
        <v>2</v>
      </c>
      <c r="D23" s="57" t="s">
        <v>297</v>
      </c>
      <c r="E23" s="415">
        <f>+F22</f>
        <v>391671</v>
      </c>
      <c r="F23" s="415">
        <f>+E23*C23</f>
        <v>783342</v>
      </c>
      <c r="G23" s="447">
        <f>+H22</f>
        <v>0</v>
      </c>
      <c r="H23" s="447">
        <f>+G23*C23</f>
        <v>0</v>
      </c>
      <c r="I23" s="415">
        <f>+H23+F23</f>
        <v>783342</v>
      </c>
      <c r="J23" s="55"/>
      <c r="K23" s="461">
        <f>+G23+E23</f>
        <v>391671</v>
      </c>
      <c r="L23" s="10"/>
    </row>
    <row r="24" spans="1:12">
      <c r="A24" s="432"/>
      <c r="B24" s="55"/>
      <c r="C24" s="190"/>
      <c r="D24" s="190"/>
      <c r="E24" s="423"/>
      <c r="F24" s="423"/>
      <c r="G24" s="571"/>
      <c r="H24" s="207"/>
      <c r="I24" s="420"/>
      <c r="J24" s="55"/>
      <c r="K24" s="61"/>
    </row>
    <row r="25" spans="1:12">
      <c r="A25" s="432"/>
      <c r="B25" s="55"/>
      <c r="C25" s="190"/>
      <c r="D25" s="190"/>
      <c r="E25" s="423"/>
      <c r="F25" s="423"/>
      <c r="G25" s="571"/>
      <c r="H25" s="207"/>
      <c r="I25" s="420"/>
      <c r="J25" s="55"/>
      <c r="K25" s="61"/>
    </row>
    <row r="26" spans="1:12">
      <c r="A26" s="432"/>
      <c r="B26" s="412" t="s">
        <v>80</v>
      </c>
      <c r="C26" s="86"/>
      <c r="D26" s="57"/>
      <c r="E26" s="81"/>
      <c r="F26" s="415"/>
      <c r="G26" s="434"/>
      <c r="H26" s="435"/>
      <c r="I26" s="436">
        <f>+I23</f>
        <v>783342</v>
      </c>
      <c r="J26" s="55"/>
      <c r="K26" s="61"/>
    </row>
  </sheetData>
  <mergeCells count="3">
    <mergeCell ref="A1:J1"/>
    <mergeCell ref="E6:F6"/>
    <mergeCell ref="G6:H6"/>
  </mergeCells>
  <pageMargins left="0.35433070866141736" right="0.27559055118110237" top="0.39370078740157483" bottom="0.43307086614173229" header="0.11811023622047245" footer="0.31496062992125984"/>
  <pageSetup paperSize="9" orientation="landscape" horizontalDpi="1200" verticalDpi="1200" r:id="rId1"/>
  <headerFooter>
    <oddHeader>&amp;Rแบบ ปร. 4 แผ่นที่ 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21</vt:i4>
      </vt:variant>
      <vt:variant>
        <vt:lpstr>ช่วงที่มีชื่อ</vt:lpstr>
      </vt:variant>
      <vt:variant>
        <vt:i4>39</vt:i4>
      </vt:variant>
    </vt:vector>
  </HeadingPairs>
  <TitlesOfParts>
    <vt:vector size="60" baseType="lpstr">
      <vt:lpstr>แบบ ปร.6</vt:lpstr>
      <vt:lpstr>ใบสรุปแบบ ปร.5 (ก) </vt:lpstr>
      <vt:lpstr>ใบสรุปแบบ ปร.5 (ข)</vt:lpstr>
      <vt:lpstr>แบบ ปร.4_อาคาร</vt:lpstr>
      <vt:lpstr>แบบ ปร.4_ประปา</vt:lpstr>
      <vt:lpstr>แบบ ปร.4_ไฟฟ้า</vt:lpstr>
      <vt:lpstr>แบบ ปร.4_ฟฟ_ภายนอก</vt:lpstr>
      <vt:lpstr>แบบ ปร.4_ปป_ภายนอก</vt:lpstr>
      <vt:lpstr>ไฟฟ้าใน</vt:lpstr>
      <vt:lpstr>ประปาใน</vt:lpstr>
      <vt:lpstr>งานภูมิทัศน์</vt:lpstr>
      <vt:lpstr>ไฟฟ้านอก</vt:lpstr>
      <vt:lpstr>ประปานอก</vt:lpstr>
      <vt:lpstr>แบบ ปร.4_ครุภัณฑ์</vt:lpstr>
      <vt:lpstr>แบบ ปร.4(พ)</vt:lpstr>
      <vt:lpstr>แบบแสดงการคำนวณ ฯ(พ)ตามข้อกำหนด</vt:lpstr>
      <vt:lpstr>F_Advance(งานอาคาร)</vt:lpstr>
      <vt:lpstr>F_Advance(งานทาง)</vt:lpstr>
      <vt:lpstr>F_Advance(สะพาน)</vt:lpstr>
      <vt:lpstr>งวดงาน</vt:lpstr>
      <vt:lpstr>ครุภัณฑ์</vt:lpstr>
      <vt:lpstr>BUDJET1</vt:lpstr>
      <vt:lpstr>BUDJET2</vt:lpstr>
      <vt:lpstr>'F_Advance(งานทาง)'!BUDJET3</vt:lpstr>
      <vt:lpstr>BUDJET3</vt:lpstr>
      <vt:lpstr>FBRIDGE</vt:lpstr>
      <vt:lpstr>FBUILD</vt:lpstr>
      <vt:lpstr>FROAD</vt:lpstr>
      <vt:lpstr>ครุภัณฑ์!Print_Area</vt:lpstr>
      <vt:lpstr>งานภูมิทัศน์!Print_Area</vt:lpstr>
      <vt:lpstr>'แบบ ปร.4_ครุภัณฑ์'!Print_Area</vt:lpstr>
      <vt:lpstr>'แบบ ปร.4_ปป_ภายนอก'!Print_Area</vt:lpstr>
      <vt:lpstr>'แบบ ปร.4_ประปา'!Print_Area</vt:lpstr>
      <vt:lpstr>'แบบ ปร.4_ฟฟ_ภายนอก'!Print_Area</vt:lpstr>
      <vt:lpstr>'แบบ ปร.4_ไฟฟ้า'!Print_Area</vt:lpstr>
      <vt:lpstr>'แบบ ปร.4_อาคาร'!Print_Area</vt:lpstr>
      <vt:lpstr>'แบบ ปร.6'!Print_Area</vt:lpstr>
      <vt:lpstr>'แบบแสดงการคำนวณ ฯ(พ)ตามข้อกำหนด'!Print_Area</vt:lpstr>
      <vt:lpstr>'ใบสรุปแบบ ปร.5 (ก) '!Print_Area</vt:lpstr>
      <vt:lpstr>'ใบสรุปแบบ ปร.5 (ข)'!Print_Area</vt:lpstr>
      <vt:lpstr>ประปานอก!Print_Area</vt:lpstr>
      <vt:lpstr>ประปาใน!Print_Area</vt:lpstr>
      <vt:lpstr>ไฟฟ้านอก!Print_Area</vt:lpstr>
      <vt:lpstr>ไฟฟ้าใน!Print_Area</vt:lpstr>
      <vt:lpstr>ครุภัณฑ์!Print_Titles</vt:lpstr>
      <vt:lpstr>งานภูมิทัศน์!Print_Titles</vt:lpstr>
      <vt:lpstr>'แบบ ปร.4(พ)'!Print_Titles</vt:lpstr>
      <vt:lpstr>'แบบ ปร.4_ครุภัณฑ์'!Print_Titles</vt:lpstr>
      <vt:lpstr>'แบบ ปร.4_ปป_ภายนอก'!Print_Titles</vt:lpstr>
      <vt:lpstr>'แบบ ปร.4_ประปา'!Print_Titles</vt:lpstr>
      <vt:lpstr>'แบบ ปร.4_ฟฟ_ภายนอก'!Print_Titles</vt:lpstr>
      <vt:lpstr>'แบบ ปร.4_ไฟฟ้า'!Print_Titles</vt:lpstr>
      <vt:lpstr>'แบบ ปร.4_อาคาร'!Print_Titles</vt:lpstr>
      <vt:lpstr>ประปานอก!Print_Titles</vt:lpstr>
      <vt:lpstr>ประปาใน!Print_Titles</vt:lpstr>
      <vt:lpstr>ไฟฟ้านอก!Print_Titles</vt:lpstr>
      <vt:lpstr>ไฟฟ้าใน!Print_Titles</vt:lpstr>
      <vt:lpstr>RET_0</vt:lpstr>
      <vt:lpstr>RET_10</vt:lpstr>
      <vt:lpstr>RET_5</vt:lpstr>
    </vt:vector>
  </TitlesOfParts>
  <Company>Navy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NAVY</dc:creator>
  <cp:lastModifiedBy>Mr.KKD</cp:lastModifiedBy>
  <cp:lastPrinted>2020-01-27T04:34:52Z</cp:lastPrinted>
  <dcterms:created xsi:type="dcterms:W3CDTF">1998-05-25T01:58:18Z</dcterms:created>
  <dcterms:modified xsi:type="dcterms:W3CDTF">2020-05-02T17:02:16Z</dcterms:modified>
</cp:coreProperties>
</file>